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opnorgehandel.sharepoint.com/sites/CoopSvalbardSA-SkipshandelCSSASB/Delte dokumenter/A-Skipshandel 2023/10. Filer vi sender ut/"/>
    </mc:Choice>
  </mc:AlternateContent>
  <xr:revisionPtr revIDLastSave="528" documentId="8_{5F0D60D3-FD5A-4964-BA19-E89FAC3D1472}" xr6:coauthVersionLast="47" xr6:coauthVersionMax="47" xr10:uidLastSave="{49681D7D-2837-4D9A-B25A-97544C2D880C}"/>
  <workbookProtection workbookAlgorithmName="SHA-512" workbookHashValue="kOQHuGIrGEooU9ZkUDasMAvLPj735bbEDIfns9EK0AUiKMohzxvZ2BSIWKDYOaQhAMsw1F1KNYzpy4AaeXcozA==" workbookSaltValue="L6NM4JLOSm+z+BkAoY+TXQ==" workbookSpinCount="100000" lockStructure="1"/>
  <bookViews>
    <workbookView xWindow="-120" yWindow="-120" windowWidth="25440" windowHeight="15390" tabRatio="753" xr2:uid="{7552C68D-17A3-42DC-B815-70FD949CEFB1}"/>
  </bookViews>
  <sheets>
    <sheet name="TOTAL ORDER" sheetId="1" r:id="rId1"/>
    <sheet name="FRUKT OG GRØNT" sheetId="2" state="hidden" r:id="rId2"/>
    <sheet name="MEIERI" sheetId="3" state="hidden" r:id="rId3"/>
    <sheet name="FERSKVARER" sheetId="4" state="hidden" r:id="rId4"/>
    <sheet name="FRYSEVARER" sheetId="5" state="hidden" r:id="rId5"/>
    <sheet name="TØRRVARER" sheetId="6" state="hidden" r:id="rId6"/>
    <sheet name="DRIKKE" sheetId="7" state="hidden" r:id="rId7"/>
    <sheet name="ALKOHOL" sheetId="8" state="hidden" r:id="rId8"/>
    <sheet name="ORDER OPPSUMMERT" sheetId="9" state="hidden" r:id="rId9"/>
  </sheets>
  <definedNames>
    <definedName name="_xlnm._FilterDatabase" localSheetId="7" hidden="1">ALKOHOL!$A$11:$H$11</definedName>
    <definedName name="_xlnm._FilterDatabase" localSheetId="6" hidden="1">DRIKKE!$A$11:$H$11</definedName>
    <definedName name="_xlnm._FilterDatabase" localSheetId="3" hidden="1">FERSKVARER!$A$11:$H$11</definedName>
    <definedName name="_xlnm._FilterDatabase" localSheetId="1" hidden="1">'FRUKT OG GRØNT'!$A$11:$H$170</definedName>
    <definedName name="_xlnm._FilterDatabase" localSheetId="4" hidden="1">FRYSEVARER!$A$11:$H$11</definedName>
    <definedName name="_xlnm._FilterDatabase" localSheetId="2" hidden="1">MEIERI!$A$11:$H$43</definedName>
    <definedName name="_xlnm._FilterDatabase" localSheetId="8" hidden="1">'ORDER OPPSUMMERT'!$A$10:$E$523</definedName>
    <definedName name="_xlnm._FilterDatabase" localSheetId="0" hidden="1">'TOTAL ORDER'!$B$496:$K$496</definedName>
    <definedName name="_xlnm._FilterDatabase" localSheetId="5" hidden="1">TØRRVARER!$A$11:$H$11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58" i="1"/>
  <c r="J59" i="1"/>
  <c r="H190" i="1"/>
  <c r="J190" i="1"/>
  <c r="I190" i="1"/>
  <c r="H191" i="1"/>
  <c r="J191" i="1"/>
  <c r="I191" i="1"/>
  <c r="I169" i="1"/>
  <c r="I170" i="1"/>
  <c r="I171" i="1"/>
  <c r="I168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72" i="1"/>
  <c r="I173" i="1"/>
  <c r="I174" i="1"/>
  <c r="I175" i="1"/>
  <c r="I176" i="1"/>
  <c r="H171" i="1"/>
  <c r="J171" i="1"/>
  <c r="H170" i="1"/>
  <c r="J170" i="1"/>
  <c r="H169" i="1"/>
  <c r="J169" i="1"/>
  <c r="H168" i="1"/>
  <c r="J168" i="1"/>
  <c r="I178" i="1"/>
  <c r="H489" i="1"/>
  <c r="J489" i="1"/>
  <c r="I489" i="1"/>
  <c r="H455" i="1"/>
  <c r="J455" i="1"/>
  <c r="I455" i="1"/>
  <c r="I450" i="1"/>
  <c r="H450" i="1"/>
  <c r="J450" i="1"/>
  <c r="H451" i="1"/>
  <c r="J451" i="1"/>
  <c r="I451" i="1"/>
  <c r="H452" i="1"/>
  <c r="J452" i="1"/>
  <c r="I452" i="1"/>
  <c r="H453" i="1"/>
  <c r="J453" i="1"/>
  <c r="I453" i="1"/>
  <c r="H454" i="1"/>
  <c r="J454" i="1"/>
  <c r="I454" i="1"/>
  <c r="H418" i="1"/>
  <c r="J418" i="1"/>
  <c r="I418" i="1"/>
  <c r="I413" i="1"/>
  <c r="H413" i="1"/>
  <c r="J413" i="1"/>
  <c r="H414" i="1"/>
  <c r="J414" i="1"/>
  <c r="I414" i="1"/>
  <c r="H415" i="1"/>
  <c r="J415" i="1"/>
  <c r="I415" i="1"/>
  <c r="H416" i="1"/>
  <c r="J416" i="1"/>
  <c r="I416" i="1"/>
  <c r="H417" i="1"/>
  <c r="J417" i="1"/>
  <c r="I417" i="1"/>
  <c r="I392" i="1"/>
  <c r="H388" i="1"/>
  <c r="H389" i="1"/>
  <c r="J389" i="1"/>
  <c r="H390" i="1"/>
  <c r="J390" i="1"/>
  <c r="H391" i="1"/>
  <c r="J391" i="1"/>
  <c r="H392" i="1"/>
  <c r="J392" i="1"/>
  <c r="I387" i="1"/>
  <c r="H387" i="1"/>
  <c r="J387" i="1"/>
  <c r="I388" i="1"/>
  <c r="J388" i="1"/>
  <c r="I389" i="1"/>
  <c r="I390" i="1"/>
  <c r="I391" i="1"/>
  <c r="H323" i="1"/>
  <c r="J323" i="1"/>
  <c r="I323" i="1"/>
  <c r="I318" i="1"/>
  <c r="H318" i="1"/>
  <c r="J318" i="1"/>
  <c r="H319" i="1"/>
  <c r="J319" i="1"/>
  <c r="I319" i="1"/>
  <c r="H320" i="1"/>
  <c r="J320" i="1"/>
  <c r="I320" i="1"/>
  <c r="H321" i="1"/>
  <c r="J321" i="1"/>
  <c r="I321" i="1"/>
  <c r="H322" i="1"/>
  <c r="J322" i="1"/>
  <c r="I322" i="1"/>
  <c r="I235" i="1"/>
  <c r="H235" i="1"/>
  <c r="J235" i="1"/>
  <c r="I230" i="1"/>
  <c r="H230" i="1"/>
  <c r="J230" i="1"/>
  <c r="H231" i="1"/>
  <c r="J231" i="1"/>
  <c r="I231" i="1"/>
  <c r="H232" i="1"/>
  <c r="J232" i="1"/>
  <c r="I232" i="1"/>
  <c r="H233" i="1"/>
  <c r="J233" i="1"/>
  <c r="I233" i="1"/>
  <c r="H234" i="1"/>
  <c r="J234" i="1"/>
  <c r="I234" i="1"/>
  <c r="H200" i="1"/>
  <c r="J200" i="1"/>
  <c r="H201" i="1"/>
  <c r="J201" i="1"/>
  <c r="H202" i="1"/>
  <c r="J202" i="1"/>
  <c r="H203" i="1"/>
  <c r="J203" i="1"/>
  <c r="H204" i="1"/>
  <c r="J204" i="1"/>
  <c r="I204" i="1"/>
  <c r="I199" i="1"/>
  <c r="H199" i="1"/>
  <c r="J199" i="1"/>
  <c r="I200" i="1"/>
  <c r="I201" i="1"/>
  <c r="I202" i="1"/>
  <c r="I203" i="1"/>
  <c r="H173" i="1"/>
  <c r="J173" i="1"/>
  <c r="H174" i="1"/>
  <c r="J174" i="1"/>
  <c r="H175" i="1"/>
  <c r="J175" i="1"/>
  <c r="I145" i="1"/>
  <c r="H145" i="1"/>
  <c r="J145" i="1"/>
  <c r="I140" i="1"/>
  <c r="H140" i="1"/>
  <c r="J140" i="1"/>
  <c r="H141" i="1"/>
  <c r="J141" i="1"/>
  <c r="I141" i="1"/>
  <c r="H142" i="1"/>
  <c r="J142" i="1"/>
  <c r="I142" i="1"/>
  <c r="H143" i="1"/>
  <c r="J143" i="1"/>
  <c r="I143" i="1"/>
  <c r="H144" i="1"/>
  <c r="J144" i="1"/>
  <c r="I144" i="1"/>
  <c r="I57" i="1"/>
  <c r="H57" i="1"/>
  <c r="J57" i="1"/>
  <c r="H54" i="1"/>
  <c r="J54" i="1"/>
  <c r="I54" i="1"/>
  <c r="H55" i="1"/>
  <c r="J55" i="1"/>
  <c r="I55" i="1"/>
  <c r="I52" i="1"/>
  <c r="H52" i="1"/>
  <c r="J52" i="1"/>
  <c r="H53" i="1"/>
  <c r="J53" i="1"/>
  <c r="I53" i="1"/>
  <c r="H56" i="1"/>
  <c r="J56" i="1"/>
  <c r="I56" i="1"/>
  <c r="A314" i="9" a="1"/>
  <c r="A314" i="9"/>
  <c r="E314" i="9" a="1"/>
  <c r="E314" i="9"/>
  <c r="A230" i="9" a="1"/>
  <c r="A230" i="9"/>
  <c r="H383" i="1"/>
  <c r="J383" i="1"/>
  <c r="H384" i="1"/>
  <c r="J384" i="1"/>
  <c r="H385" i="1"/>
  <c r="J385" i="1"/>
  <c r="H386" i="1"/>
  <c r="J386" i="1"/>
  <c r="H370" i="1"/>
  <c r="J370" i="1"/>
  <c r="H371" i="1"/>
  <c r="J371" i="1"/>
  <c r="H372" i="1"/>
  <c r="J372" i="1"/>
  <c r="H373" i="1"/>
  <c r="J373" i="1"/>
  <c r="H374" i="1"/>
  <c r="J374" i="1"/>
  <c r="H375" i="1"/>
  <c r="J375" i="1"/>
  <c r="H376" i="1"/>
  <c r="J376" i="1"/>
  <c r="H377" i="1"/>
  <c r="J377" i="1"/>
  <c r="H378" i="1"/>
  <c r="J378" i="1"/>
  <c r="H359" i="1"/>
  <c r="J359" i="1"/>
  <c r="H360" i="1"/>
  <c r="J360" i="1"/>
  <c r="H361" i="1"/>
  <c r="J361" i="1"/>
  <c r="H362" i="1"/>
  <c r="J362" i="1"/>
  <c r="H353" i="1"/>
  <c r="J353" i="1"/>
  <c r="H354" i="1"/>
  <c r="J354" i="1"/>
  <c r="H352" i="1"/>
  <c r="J352" i="1"/>
  <c r="H331" i="1"/>
  <c r="J331" i="1"/>
  <c r="H443" i="1"/>
  <c r="J443" i="1"/>
  <c r="I443" i="1"/>
  <c r="H444" i="1"/>
  <c r="J444" i="1"/>
  <c r="I444" i="1"/>
  <c r="H431" i="1"/>
  <c r="J431" i="1"/>
  <c r="I431" i="1"/>
  <c r="H432" i="1"/>
  <c r="J432" i="1"/>
  <c r="I432" i="1"/>
  <c r="H433" i="1"/>
  <c r="J433" i="1"/>
  <c r="I433" i="1"/>
  <c r="H439" i="1"/>
  <c r="J439" i="1"/>
  <c r="I439" i="1"/>
  <c r="H440" i="1"/>
  <c r="J440" i="1"/>
  <c r="I440" i="1"/>
  <c r="H441" i="1"/>
  <c r="J441" i="1"/>
  <c r="I441" i="1"/>
  <c r="H425" i="1"/>
  <c r="J425" i="1"/>
  <c r="I425" i="1"/>
  <c r="H426" i="1"/>
  <c r="J426" i="1"/>
  <c r="I426" i="1"/>
  <c r="H427" i="1"/>
  <c r="J427" i="1"/>
  <c r="I427" i="1"/>
  <c r="H428" i="1"/>
  <c r="J428" i="1"/>
  <c r="I428" i="1"/>
  <c r="I353" i="1"/>
  <c r="I354" i="1"/>
  <c r="I383" i="1"/>
  <c r="I384" i="1"/>
  <c r="I385" i="1"/>
  <c r="I386" i="1"/>
  <c r="I382" i="1"/>
  <c r="H382" i="1"/>
  <c r="J382" i="1"/>
  <c r="I381" i="1"/>
  <c r="H381" i="1"/>
  <c r="J381" i="1"/>
  <c r="I380" i="1"/>
  <c r="H380" i="1"/>
  <c r="J380" i="1"/>
  <c r="I379" i="1"/>
  <c r="H379" i="1"/>
  <c r="J379" i="1"/>
  <c r="I360" i="1"/>
  <c r="I361" i="1"/>
  <c r="I362" i="1"/>
  <c r="I370" i="1"/>
  <c r="I371" i="1"/>
  <c r="I372" i="1"/>
  <c r="I373" i="1"/>
  <c r="I331" i="1"/>
  <c r="I359" i="1"/>
  <c r="I378" i="1"/>
  <c r="I377" i="1"/>
  <c r="I374" i="1"/>
  <c r="I375" i="1"/>
  <c r="I376" i="1"/>
  <c r="H314" i="1"/>
  <c r="J314" i="1"/>
  <c r="I314" i="1"/>
  <c r="H315" i="1"/>
  <c r="J315" i="1"/>
  <c r="I315" i="1"/>
  <c r="H307" i="1"/>
  <c r="J307" i="1"/>
  <c r="I307" i="1"/>
  <c r="H316" i="1"/>
  <c r="J316" i="1"/>
  <c r="I316" i="1"/>
  <c r="H301" i="1"/>
  <c r="J301" i="1"/>
  <c r="I301" i="1"/>
  <c r="A12" i="8" a="1"/>
  <c r="A12" i="8"/>
  <c r="H12" i="7" a="1"/>
  <c r="H12" i="7"/>
  <c r="A12" i="7" a="1"/>
  <c r="A12" i="7"/>
  <c r="H77" i="6" a="1"/>
  <c r="H77" i="6"/>
  <c r="A77" i="6" a="1"/>
  <c r="A77" i="6"/>
  <c r="H12" i="6" a="1"/>
  <c r="H12" i="6"/>
  <c r="A12" i="6" a="1"/>
  <c r="A12" i="6"/>
  <c r="H12" i="5" a="1"/>
  <c r="H12" i="5"/>
  <c r="A12" i="5" a="1"/>
  <c r="A12" i="5"/>
  <c r="H12" i="4" a="1"/>
  <c r="H12" i="4"/>
  <c r="A12" i="4" a="1"/>
  <c r="A12" i="4"/>
  <c r="H12" i="3" a="1"/>
  <c r="H12" i="3"/>
  <c r="A12" i="3" a="1"/>
  <c r="A12" i="3"/>
  <c r="H146" i="2" a="1"/>
  <c r="H146" i="2"/>
  <c r="A146" i="2" a="1"/>
  <c r="A146" i="2"/>
  <c r="H55" i="2" a="1"/>
  <c r="H55" i="2"/>
  <c r="A55" i="2" a="1"/>
  <c r="A55" i="2"/>
  <c r="H12" i="2" a="1"/>
  <c r="H12" i="2"/>
  <c r="A12" i="2" a="1"/>
  <c r="A12" i="2"/>
  <c r="E474" i="9" a="1"/>
  <c r="E474" i="9"/>
  <c r="A474" i="9" a="1"/>
  <c r="A474" i="9"/>
  <c r="E434" i="9" a="1"/>
  <c r="E434" i="9"/>
  <c r="A434" i="9" a="1"/>
  <c r="A434" i="9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90" i="1"/>
  <c r="I491" i="1"/>
  <c r="I492" i="1"/>
  <c r="I460" i="1"/>
  <c r="H492" i="1"/>
  <c r="J492" i="1"/>
  <c r="H491" i="1"/>
  <c r="J491" i="1"/>
  <c r="H490" i="1"/>
  <c r="J490" i="1"/>
  <c r="H488" i="1"/>
  <c r="J488" i="1"/>
  <c r="H487" i="1"/>
  <c r="J487" i="1"/>
  <c r="H486" i="1"/>
  <c r="J486" i="1"/>
  <c r="H485" i="1"/>
  <c r="J485" i="1"/>
  <c r="H484" i="1"/>
  <c r="J484" i="1"/>
  <c r="H483" i="1"/>
  <c r="J483" i="1"/>
  <c r="H482" i="1"/>
  <c r="J482" i="1"/>
  <c r="H481" i="1"/>
  <c r="J481" i="1"/>
  <c r="H480" i="1"/>
  <c r="J480" i="1"/>
  <c r="H479" i="1"/>
  <c r="J479" i="1"/>
  <c r="H478" i="1"/>
  <c r="J478" i="1"/>
  <c r="H477" i="1"/>
  <c r="J477" i="1"/>
  <c r="H476" i="1"/>
  <c r="J476" i="1"/>
  <c r="H475" i="1"/>
  <c r="J475" i="1"/>
  <c r="H474" i="1"/>
  <c r="J474" i="1"/>
  <c r="H473" i="1"/>
  <c r="J473" i="1"/>
  <c r="H472" i="1"/>
  <c r="J472" i="1"/>
  <c r="H471" i="1"/>
  <c r="J471" i="1"/>
  <c r="H470" i="1"/>
  <c r="J470" i="1"/>
  <c r="H469" i="1"/>
  <c r="J469" i="1"/>
  <c r="H468" i="1"/>
  <c r="J468" i="1"/>
  <c r="H467" i="1"/>
  <c r="J467" i="1"/>
  <c r="H466" i="1"/>
  <c r="J466" i="1"/>
  <c r="H465" i="1"/>
  <c r="J465" i="1"/>
  <c r="H464" i="1"/>
  <c r="J464" i="1"/>
  <c r="H463" i="1"/>
  <c r="J463" i="1"/>
  <c r="H462" i="1"/>
  <c r="J462" i="1"/>
  <c r="H461" i="1"/>
  <c r="J461" i="1"/>
  <c r="H460" i="1"/>
  <c r="J460" i="1"/>
  <c r="E401" i="9" a="1"/>
  <c r="E401" i="9"/>
  <c r="A401" i="9" a="1"/>
  <c r="A401" i="9"/>
  <c r="I434" i="1"/>
  <c r="I435" i="1"/>
  <c r="I424" i="1"/>
  <c r="I436" i="1"/>
  <c r="I437" i="1"/>
  <c r="I429" i="1"/>
  <c r="I430" i="1"/>
  <c r="I438" i="1"/>
  <c r="I442" i="1"/>
  <c r="I445" i="1"/>
  <c r="I446" i="1"/>
  <c r="I447" i="1"/>
  <c r="I449" i="1"/>
  <c r="I448" i="1"/>
  <c r="I423" i="1"/>
  <c r="H448" i="1"/>
  <c r="J448" i="1"/>
  <c r="H449" i="1"/>
  <c r="J449" i="1"/>
  <c r="H447" i="1"/>
  <c r="J447" i="1"/>
  <c r="H446" i="1"/>
  <c r="J446" i="1"/>
  <c r="H445" i="1"/>
  <c r="J445" i="1"/>
  <c r="H442" i="1"/>
  <c r="J442" i="1"/>
  <c r="H438" i="1"/>
  <c r="J438" i="1"/>
  <c r="H430" i="1"/>
  <c r="J430" i="1"/>
  <c r="H429" i="1"/>
  <c r="J429" i="1"/>
  <c r="H437" i="1"/>
  <c r="J437" i="1"/>
  <c r="H436" i="1"/>
  <c r="J436" i="1"/>
  <c r="H424" i="1"/>
  <c r="J424" i="1"/>
  <c r="H435" i="1"/>
  <c r="J435" i="1"/>
  <c r="H434" i="1"/>
  <c r="J434" i="1"/>
  <c r="H423" i="1"/>
  <c r="J423" i="1"/>
  <c r="E379" i="9" a="1"/>
  <c r="E379" i="9"/>
  <c r="A379" i="9" a="1"/>
  <c r="A379" i="9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397" i="1"/>
  <c r="H412" i="1"/>
  <c r="J412" i="1"/>
  <c r="H411" i="1"/>
  <c r="J411" i="1"/>
  <c r="H410" i="1"/>
  <c r="J410" i="1"/>
  <c r="H409" i="1"/>
  <c r="J409" i="1"/>
  <c r="H408" i="1"/>
  <c r="J408" i="1"/>
  <c r="H407" i="1"/>
  <c r="J407" i="1"/>
  <c r="H406" i="1"/>
  <c r="J406" i="1"/>
  <c r="H405" i="1"/>
  <c r="J405" i="1"/>
  <c r="H404" i="1"/>
  <c r="J404" i="1"/>
  <c r="H403" i="1"/>
  <c r="J403" i="1"/>
  <c r="H402" i="1"/>
  <c r="J402" i="1"/>
  <c r="H401" i="1"/>
  <c r="J401" i="1"/>
  <c r="H400" i="1"/>
  <c r="J400" i="1"/>
  <c r="H399" i="1"/>
  <c r="J399" i="1"/>
  <c r="H398" i="1"/>
  <c r="J398" i="1"/>
  <c r="H397" i="1"/>
  <c r="J397" i="1"/>
  <c r="I329" i="1"/>
  <c r="I330" i="1"/>
  <c r="I333" i="1"/>
  <c r="I334" i="1"/>
  <c r="I332" i="1"/>
  <c r="I335" i="1"/>
  <c r="I336" i="1"/>
  <c r="I337" i="1"/>
  <c r="I338" i="1"/>
  <c r="I339" i="1"/>
  <c r="I340" i="1"/>
  <c r="I341" i="1"/>
  <c r="I344" i="1"/>
  <c r="I345" i="1"/>
  <c r="I343" i="1"/>
  <c r="I342" i="1"/>
  <c r="I351" i="1"/>
  <c r="I352" i="1"/>
  <c r="I346" i="1"/>
  <c r="I347" i="1"/>
  <c r="I348" i="1"/>
  <c r="I349" i="1"/>
  <c r="I350" i="1"/>
  <c r="I355" i="1"/>
  <c r="I356" i="1"/>
  <c r="I357" i="1"/>
  <c r="I358" i="1"/>
  <c r="I363" i="1"/>
  <c r="I364" i="1"/>
  <c r="I365" i="1"/>
  <c r="I366" i="1"/>
  <c r="I367" i="1"/>
  <c r="I368" i="1"/>
  <c r="I369" i="1"/>
  <c r="I328" i="1"/>
  <c r="H369" i="1"/>
  <c r="J369" i="1"/>
  <c r="H368" i="1"/>
  <c r="J368" i="1"/>
  <c r="H367" i="1"/>
  <c r="J367" i="1"/>
  <c r="H366" i="1"/>
  <c r="J366" i="1"/>
  <c r="H365" i="1"/>
  <c r="J365" i="1"/>
  <c r="H364" i="1"/>
  <c r="J364" i="1"/>
  <c r="H363" i="1"/>
  <c r="J363" i="1"/>
  <c r="H358" i="1"/>
  <c r="J358" i="1"/>
  <c r="H357" i="1"/>
  <c r="J357" i="1"/>
  <c r="H356" i="1"/>
  <c r="J356" i="1"/>
  <c r="H355" i="1"/>
  <c r="J355" i="1"/>
  <c r="H350" i="1"/>
  <c r="J350" i="1"/>
  <c r="H349" i="1"/>
  <c r="J349" i="1"/>
  <c r="H348" i="1"/>
  <c r="J348" i="1"/>
  <c r="H347" i="1"/>
  <c r="J347" i="1"/>
  <c r="H346" i="1"/>
  <c r="J346" i="1"/>
  <c r="H351" i="1"/>
  <c r="J351" i="1"/>
  <c r="H342" i="1"/>
  <c r="J342" i="1"/>
  <c r="H343" i="1"/>
  <c r="J343" i="1"/>
  <c r="H345" i="1"/>
  <c r="J345" i="1"/>
  <c r="H344" i="1"/>
  <c r="J344" i="1"/>
  <c r="H341" i="1"/>
  <c r="J341" i="1"/>
  <c r="H340" i="1"/>
  <c r="J340" i="1"/>
  <c r="H339" i="1"/>
  <c r="J339" i="1"/>
  <c r="H338" i="1"/>
  <c r="J338" i="1"/>
  <c r="H337" i="1"/>
  <c r="J337" i="1"/>
  <c r="H336" i="1"/>
  <c r="J336" i="1"/>
  <c r="H335" i="1"/>
  <c r="J335" i="1"/>
  <c r="H332" i="1"/>
  <c r="J332" i="1"/>
  <c r="H334" i="1"/>
  <c r="J334" i="1"/>
  <c r="H333" i="1"/>
  <c r="J333" i="1"/>
  <c r="H330" i="1"/>
  <c r="J330" i="1"/>
  <c r="H329" i="1"/>
  <c r="J329" i="1"/>
  <c r="H328" i="1"/>
  <c r="J328" i="1"/>
  <c r="E230" i="9" a="1"/>
  <c r="E230" i="9"/>
  <c r="I241" i="1"/>
  <c r="I245" i="1"/>
  <c r="I246" i="1"/>
  <c r="I247" i="1"/>
  <c r="I248" i="1"/>
  <c r="I242" i="1"/>
  <c r="I243" i="1"/>
  <c r="I244" i="1"/>
  <c r="I249" i="1"/>
  <c r="I250" i="1"/>
  <c r="I251" i="1"/>
  <c r="I252" i="1"/>
  <c r="I257" i="1"/>
  <c r="I258" i="1"/>
  <c r="I259" i="1"/>
  <c r="I256" i="1"/>
  <c r="I253" i="1"/>
  <c r="I254" i="1"/>
  <c r="I255" i="1"/>
  <c r="I260" i="1"/>
  <c r="I261" i="1"/>
  <c r="I275" i="1"/>
  <c r="I276" i="1"/>
  <c r="I277" i="1"/>
  <c r="I262" i="1"/>
  <c r="I263" i="1"/>
  <c r="I264" i="1"/>
  <c r="I274" i="1"/>
  <c r="I265" i="1"/>
  <c r="I266" i="1"/>
  <c r="I267" i="1"/>
  <c r="I268" i="1"/>
  <c r="I269" i="1"/>
  <c r="I270" i="1"/>
  <c r="I271" i="1"/>
  <c r="I272" i="1"/>
  <c r="I273" i="1"/>
  <c r="I278" i="1"/>
  <c r="I279" i="1"/>
  <c r="I280" i="1"/>
  <c r="I282" i="1"/>
  <c r="I284" i="1"/>
  <c r="I285" i="1"/>
  <c r="I286" i="1"/>
  <c r="I291" i="1"/>
  <c r="I292" i="1"/>
  <c r="I293" i="1"/>
  <c r="I294" i="1"/>
  <c r="I295" i="1"/>
  <c r="I296" i="1"/>
  <c r="I297" i="1"/>
  <c r="I298" i="1"/>
  <c r="I289" i="1"/>
  <c r="I290" i="1"/>
  <c r="I283" i="1"/>
  <c r="I287" i="1"/>
  <c r="I281" i="1"/>
  <c r="I288" i="1"/>
  <c r="I299" i="1"/>
  <c r="I300" i="1"/>
  <c r="I302" i="1"/>
  <c r="I303" i="1"/>
  <c r="I304" i="1"/>
  <c r="I305" i="1"/>
  <c r="I306" i="1"/>
  <c r="I312" i="1"/>
  <c r="I313" i="1"/>
  <c r="I308" i="1"/>
  <c r="I309" i="1"/>
  <c r="I310" i="1"/>
  <c r="I311" i="1"/>
  <c r="I317" i="1"/>
  <c r="I240" i="1"/>
  <c r="H317" i="1"/>
  <c r="J317" i="1"/>
  <c r="H311" i="1"/>
  <c r="J311" i="1"/>
  <c r="H310" i="1"/>
  <c r="J310" i="1"/>
  <c r="H309" i="1"/>
  <c r="J309" i="1"/>
  <c r="H308" i="1"/>
  <c r="J308" i="1"/>
  <c r="H313" i="1"/>
  <c r="J313" i="1"/>
  <c r="H312" i="1"/>
  <c r="J312" i="1"/>
  <c r="H306" i="1"/>
  <c r="J306" i="1"/>
  <c r="H305" i="1"/>
  <c r="J305" i="1"/>
  <c r="H304" i="1"/>
  <c r="J304" i="1"/>
  <c r="H303" i="1"/>
  <c r="J303" i="1"/>
  <c r="H302" i="1"/>
  <c r="J302" i="1"/>
  <c r="H300" i="1"/>
  <c r="J300" i="1"/>
  <c r="H299" i="1"/>
  <c r="J299" i="1"/>
  <c r="H288" i="1"/>
  <c r="J288" i="1"/>
  <c r="H281" i="1"/>
  <c r="J281" i="1"/>
  <c r="H287" i="1"/>
  <c r="J287" i="1"/>
  <c r="H283" i="1"/>
  <c r="J283" i="1"/>
  <c r="H290" i="1"/>
  <c r="J290" i="1"/>
  <c r="H289" i="1"/>
  <c r="J289" i="1"/>
  <c r="H298" i="1"/>
  <c r="J298" i="1"/>
  <c r="H297" i="1"/>
  <c r="J297" i="1"/>
  <c r="H296" i="1"/>
  <c r="J296" i="1"/>
  <c r="H295" i="1"/>
  <c r="J295" i="1"/>
  <c r="H294" i="1"/>
  <c r="J294" i="1"/>
  <c r="H293" i="1"/>
  <c r="J293" i="1"/>
  <c r="H292" i="1"/>
  <c r="J292" i="1"/>
  <c r="H291" i="1"/>
  <c r="J291" i="1"/>
  <c r="H286" i="1"/>
  <c r="J286" i="1"/>
  <c r="H285" i="1"/>
  <c r="J285" i="1"/>
  <c r="H284" i="1"/>
  <c r="J284" i="1"/>
  <c r="H282" i="1"/>
  <c r="J282" i="1"/>
  <c r="H280" i="1"/>
  <c r="J280" i="1"/>
  <c r="H279" i="1"/>
  <c r="J279" i="1"/>
  <c r="H278" i="1"/>
  <c r="J278" i="1"/>
  <c r="H273" i="1"/>
  <c r="J273" i="1"/>
  <c r="H272" i="1"/>
  <c r="J272" i="1"/>
  <c r="H271" i="1"/>
  <c r="J271" i="1"/>
  <c r="H270" i="1"/>
  <c r="J270" i="1"/>
  <c r="H269" i="1"/>
  <c r="J269" i="1"/>
  <c r="H268" i="1"/>
  <c r="J268" i="1"/>
  <c r="H267" i="1"/>
  <c r="J267" i="1"/>
  <c r="H266" i="1"/>
  <c r="J266" i="1"/>
  <c r="H265" i="1"/>
  <c r="J265" i="1"/>
  <c r="H274" i="1"/>
  <c r="J274" i="1"/>
  <c r="H264" i="1"/>
  <c r="J264" i="1"/>
  <c r="H263" i="1"/>
  <c r="J263" i="1"/>
  <c r="H262" i="1"/>
  <c r="J262" i="1"/>
  <c r="H277" i="1"/>
  <c r="J277" i="1"/>
  <c r="H276" i="1"/>
  <c r="J276" i="1"/>
  <c r="H275" i="1"/>
  <c r="J275" i="1"/>
  <c r="H261" i="1"/>
  <c r="J261" i="1"/>
  <c r="H260" i="1"/>
  <c r="J260" i="1"/>
  <c r="H255" i="1"/>
  <c r="J255" i="1"/>
  <c r="H254" i="1"/>
  <c r="J254" i="1"/>
  <c r="H253" i="1"/>
  <c r="J253" i="1"/>
  <c r="H256" i="1"/>
  <c r="J256" i="1"/>
  <c r="H259" i="1"/>
  <c r="J259" i="1"/>
  <c r="H258" i="1"/>
  <c r="J258" i="1"/>
  <c r="H257" i="1"/>
  <c r="J257" i="1"/>
  <c r="H252" i="1"/>
  <c r="J252" i="1"/>
  <c r="H251" i="1"/>
  <c r="J251" i="1"/>
  <c r="H250" i="1"/>
  <c r="J250" i="1"/>
  <c r="H249" i="1"/>
  <c r="J249" i="1"/>
  <c r="H244" i="1"/>
  <c r="J244" i="1"/>
  <c r="H243" i="1"/>
  <c r="J243" i="1"/>
  <c r="H242" i="1"/>
  <c r="J242" i="1"/>
  <c r="H248" i="1"/>
  <c r="J248" i="1"/>
  <c r="H247" i="1"/>
  <c r="J247" i="1"/>
  <c r="H246" i="1"/>
  <c r="J246" i="1"/>
  <c r="H245" i="1"/>
  <c r="J245" i="1"/>
  <c r="H241" i="1"/>
  <c r="J241" i="1"/>
  <c r="H240" i="1"/>
  <c r="J240" i="1"/>
  <c r="E202" i="9" a="1"/>
  <c r="E202" i="9"/>
  <c r="A202" i="9" a="1"/>
  <c r="A202" i="9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09" i="1"/>
  <c r="H229" i="1"/>
  <c r="J229" i="1"/>
  <c r="H228" i="1"/>
  <c r="J228" i="1"/>
  <c r="H227" i="1"/>
  <c r="J227" i="1"/>
  <c r="H226" i="1"/>
  <c r="J226" i="1"/>
  <c r="H225" i="1"/>
  <c r="J225" i="1"/>
  <c r="H224" i="1"/>
  <c r="J224" i="1"/>
  <c r="H223" i="1"/>
  <c r="J223" i="1"/>
  <c r="H222" i="1"/>
  <c r="J222" i="1"/>
  <c r="H221" i="1"/>
  <c r="J221" i="1"/>
  <c r="H220" i="1"/>
  <c r="J220" i="1"/>
  <c r="H219" i="1"/>
  <c r="J219" i="1"/>
  <c r="H218" i="1"/>
  <c r="J218" i="1"/>
  <c r="H217" i="1"/>
  <c r="J217" i="1"/>
  <c r="H216" i="1"/>
  <c r="J216" i="1"/>
  <c r="H215" i="1"/>
  <c r="J215" i="1"/>
  <c r="H214" i="1"/>
  <c r="J214" i="1"/>
  <c r="H213" i="1"/>
  <c r="J213" i="1"/>
  <c r="H212" i="1"/>
  <c r="J212" i="1"/>
  <c r="H211" i="1"/>
  <c r="J211" i="1"/>
  <c r="H210" i="1"/>
  <c r="J210" i="1"/>
  <c r="H209" i="1"/>
  <c r="J209" i="1"/>
  <c r="E170" i="9" a="1"/>
  <c r="E170" i="9"/>
  <c r="A170" i="9" a="1"/>
  <c r="A170" i="9"/>
  <c r="I182" i="1"/>
  <c r="I183" i="1"/>
  <c r="I184" i="1"/>
  <c r="I198" i="1"/>
  <c r="I187" i="1"/>
  <c r="I188" i="1"/>
  <c r="I189" i="1"/>
  <c r="I192" i="1"/>
  <c r="I193" i="1"/>
  <c r="I194" i="1"/>
  <c r="I185" i="1"/>
  <c r="I186" i="1"/>
  <c r="I195" i="1"/>
  <c r="I196" i="1"/>
  <c r="I197" i="1"/>
  <c r="I181" i="1"/>
  <c r="H197" i="1"/>
  <c r="J197" i="1"/>
  <c r="H196" i="1"/>
  <c r="J196" i="1"/>
  <c r="H195" i="1"/>
  <c r="J195" i="1"/>
  <c r="H186" i="1"/>
  <c r="J186" i="1"/>
  <c r="H185" i="1"/>
  <c r="J185" i="1"/>
  <c r="H194" i="1"/>
  <c r="J194" i="1"/>
  <c r="H193" i="1"/>
  <c r="J193" i="1"/>
  <c r="H192" i="1"/>
  <c r="J192" i="1"/>
  <c r="H189" i="1"/>
  <c r="J189" i="1"/>
  <c r="H188" i="1"/>
  <c r="J188" i="1"/>
  <c r="H187" i="1"/>
  <c r="J187" i="1"/>
  <c r="H198" i="1"/>
  <c r="J198" i="1"/>
  <c r="H184" i="1"/>
  <c r="J184" i="1"/>
  <c r="H183" i="1"/>
  <c r="J183" i="1"/>
  <c r="H182" i="1"/>
  <c r="J182" i="1"/>
  <c r="H181" i="1"/>
  <c r="J181" i="1"/>
  <c r="E145" i="9" a="1"/>
  <c r="E145" i="9"/>
  <c r="A145" i="9" a="1"/>
  <c r="A145" i="9"/>
  <c r="H164" i="1"/>
  <c r="J164" i="1"/>
  <c r="H163" i="1"/>
  <c r="J163" i="1"/>
  <c r="H162" i="1"/>
  <c r="J162" i="1"/>
  <c r="H161" i="1"/>
  <c r="J161" i="1"/>
  <c r="H167" i="1"/>
  <c r="J167" i="1"/>
  <c r="H166" i="1"/>
  <c r="J166" i="1"/>
  <c r="H160" i="1"/>
  <c r="J160" i="1"/>
  <c r="H159" i="1"/>
  <c r="J159" i="1"/>
  <c r="H158" i="1"/>
  <c r="J158" i="1"/>
  <c r="H157" i="1"/>
  <c r="J157" i="1"/>
  <c r="H156" i="1"/>
  <c r="J156" i="1"/>
  <c r="H155" i="1"/>
  <c r="J155" i="1"/>
  <c r="H154" i="1"/>
  <c r="J154" i="1"/>
  <c r="H153" i="1"/>
  <c r="J153" i="1"/>
  <c r="H152" i="1"/>
  <c r="J152" i="1"/>
  <c r="H176" i="1"/>
  <c r="J176" i="1"/>
  <c r="H151" i="1"/>
  <c r="J151" i="1"/>
  <c r="H150" i="1"/>
  <c r="J150" i="1"/>
  <c r="H165" i="1"/>
  <c r="J165" i="1"/>
  <c r="H172" i="1"/>
  <c r="J172" i="1"/>
  <c r="E54" i="9" a="1"/>
  <c r="E54" i="9"/>
  <c r="A54" i="9" a="1"/>
  <c r="A54" i="9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6" i="1"/>
  <c r="I93" i="1"/>
  <c r="I94" i="1"/>
  <c r="I95" i="1"/>
  <c r="I92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62" i="1"/>
  <c r="H139" i="1"/>
  <c r="J139" i="1"/>
  <c r="H138" i="1"/>
  <c r="J138" i="1"/>
  <c r="H137" i="1"/>
  <c r="J137" i="1"/>
  <c r="H136" i="1"/>
  <c r="J136" i="1"/>
  <c r="H135" i="1"/>
  <c r="J135" i="1"/>
  <c r="H134" i="1"/>
  <c r="J134" i="1"/>
  <c r="H133" i="1"/>
  <c r="J133" i="1"/>
  <c r="H132" i="1"/>
  <c r="J132" i="1"/>
  <c r="H131" i="1"/>
  <c r="J131" i="1"/>
  <c r="H130" i="1"/>
  <c r="J130" i="1"/>
  <c r="H129" i="1"/>
  <c r="J129" i="1"/>
  <c r="H128" i="1"/>
  <c r="J128" i="1"/>
  <c r="H127" i="1"/>
  <c r="J127" i="1"/>
  <c r="H126" i="1"/>
  <c r="J126" i="1"/>
  <c r="H125" i="1"/>
  <c r="J125" i="1"/>
  <c r="H124" i="1"/>
  <c r="J124" i="1"/>
  <c r="H123" i="1"/>
  <c r="J123" i="1"/>
  <c r="H122" i="1"/>
  <c r="J122" i="1"/>
  <c r="H121" i="1"/>
  <c r="J121" i="1"/>
  <c r="H120" i="1"/>
  <c r="J120" i="1"/>
  <c r="H119" i="1"/>
  <c r="J119" i="1"/>
  <c r="H118" i="1"/>
  <c r="J118" i="1"/>
  <c r="H117" i="1"/>
  <c r="J117" i="1"/>
  <c r="H116" i="1"/>
  <c r="J116" i="1"/>
  <c r="H115" i="1"/>
  <c r="J115" i="1"/>
  <c r="H114" i="1"/>
  <c r="J114" i="1"/>
  <c r="H113" i="1"/>
  <c r="J113" i="1"/>
  <c r="H112" i="1"/>
  <c r="J112" i="1"/>
  <c r="H111" i="1"/>
  <c r="J111" i="1"/>
  <c r="H110" i="1"/>
  <c r="J110" i="1"/>
  <c r="H109" i="1"/>
  <c r="J109" i="1"/>
  <c r="H108" i="1"/>
  <c r="J108" i="1"/>
  <c r="H107" i="1"/>
  <c r="J107" i="1"/>
  <c r="H106" i="1"/>
  <c r="J106" i="1"/>
  <c r="H105" i="1"/>
  <c r="J105" i="1"/>
  <c r="H104" i="1"/>
  <c r="J104" i="1"/>
  <c r="H103" i="1"/>
  <c r="J103" i="1"/>
  <c r="H102" i="1"/>
  <c r="J102" i="1"/>
  <c r="H101" i="1"/>
  <c r="J101" i="1"/>
  <c r="H100" i="1"/>
  <c r="J100" i="1"/>
  <c r="H99" i="1"/>
  <c r="J99" i="1"/>
  <c r="H98" i="1"/>
  <c r="J98" i="1"/>
  <c r="H97" i="1"/>
  <c r="J97" i="1"/>
  <c r="H92" i="1"/>
  <c r="J92" i="1"/>
  <c r="H95" i="1"/>
  <c r="J95" i="1"/>
  <c r="H94" i="1"/>
  <c r="J94" i="1"/>
  <c r="H93" i="1"/>
  <c r="J93" i="1"/>
  <c r="H96" i="1"/>
  <c r="J96" i="1"/>
  <c r="H91" i="1"/>
  <c r="J91" i="1"/>
  <c r="H90" i="1"/>
  <c r="J90" i="1"/>
  <c r="H89" i="1"/>
  <c r="J89" i="1"/>
  <c r="H88" i="1"/>
  <c r="J88" i="1"/>
  <c r="H87" i="1"/>
  <c r="J87" i="1"/>
  <c r="H86" i="1"/>
  <c r="J86" i="1"/>
  <c r="H85" i="1"/>
  <c r="J85" i="1"/>
  <c r="H84" i="1"/>
  <c r="J84" i="1"/>
  <c r="H83" i="1"/>
  <c r="J83" i="1"/>
  <c r="H82" i="1"/>
  <c r="J82" i="1"/>
  <c r="H81" i="1"/>
  <c r="J81" i="1"/>
  <c r="H80" i="1"/>
  <c r="J80" i="1"/>
  <c r="H79" i="1"/>
  <c r="J79" i="1"/>
  <c r="H78" i="1"/>
  <c r="J78" i="1"/>
  <c r="H77" i="1"/>
  <c r="J77" i="1"/>
  <c r="H76" i="1"/>
  <c r="J76" i="1"/>
  <c r="H75" i="1"/>
  <c r="J75" i="1"/>
  <c r="H74" i="1"/>
  <c r="J74" i="1"/>
  <c r="H73" i="1"/>
  <c r="J73" i="1"/>
  <c r="H72" i="1"/>
  <c r="J72" i="1"/>
  <c r="H71" i="1"/>
  <c r="J71" i="1"/>
  <c r="H70" i="1"/>
  <c r="J70" i="1"/>
  <c r="H69" i="1"/>
  <c r="J69" i="1"/>
  <c r="H68" i="1"/>
  <c r="J68" i="1"/>
  <c r="H67" i="1"/>
  <c r="J67" i="1"/>
  <c r="H66" i="1"/>
  <c r="J66" i="1"/>
  <c r="H65" i="1"/>
  <c r="J65" i="1"/>
  <c r="H64" i="1"/>
  <c r="J64" i="1"/>
  <c r="H63" i="1"/>
  <c r="J63" i="1"/>
  <c r="H62" i="1"/>
  <c r="J62" i="1"/>
  <c r="E11" i="9" a="1"/>
  <c r="E11" i="9"/>
  <c r="A11" i="9" a="1"/>
  <c r="A11" i="9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29" i="1"/>
  <c r="I40" i="1"/>
  <c r="I41" i="1"/>
  <c r="I42" i="1"/>
  <c r="I43" i="1"/>
  <c r="I44" i="1"/>
  <c r="I45" i="1"/>
  <c r="I46" i="1"/>
  <c r="I47" i="1"/>
  <c r="I48" i="1"/>
  <c r="I49" i="1"/>
  <c r="I50" i="1"/>
  <c r="I51" i="1"/>
  <c r="H51" i="1"/>
  <c r="J51" i="1"/>
  <c r="H50" i="1"/>
  <c r="J50" i="1"/>
  <c r="H49" i="1"/>
  <c r="J49" i="1"/>
  <c r="H48" i="1"/>
  <c r="J48" i="1"/>
  <c r="H47" i="1"/>
  <c r="J47" i="1"/>
  <c r="H46" i="1"/>
  <c r="J46" i="1"/>
  <c r="H45" i="1"/>
  <c r="J45" i="1"/>
  <c r="H44" i="1"/>
  <c r="J44" i="1"/>
  <c r="H43" i="1"/>
  <c r="J43" i="1"/>
  <c r="H42" i="1"/>
  <c r="J42" i="1"/>
  <c r="H41" i="1"/>
  <c r="J41" i="1"/>
  <c r="H40" i="1"/>
  <c r="J40" i="1"/>
  <c r="H29" i="1"/>
  <c r="J29" i="1"/>
  <c r="H39" i="1"/>
  <c r="J39" i="1"/>
  <c r="H38" i="1"/>
  <c r="J38" i="1"/>
  <c r="H37" i="1"/>
  <c r="J37" i="1"/>
  <c r="H36" i="1"/>
  <c r="J36" i="1"/>
  <c r="H35" i="1"/>
  <c r="J35" i="1"/>
  <c r="H34" i="1"/>
  <c r="J34" i="1"/>
  <c r="H33" i="1"/>
  <c r="J33" i="1"/>
  <c r="H32" i="1"/>
  <c r="J32" i="1"/>
  <c r="H31" i="1"/>
  <c r="J31" i="1"/>
  <c r="H30" i="1"/>
  <c r="J30" i="1"/>
  <c r="H28" i="1"/>
  <c r="J28" i="1"/>
  <c r="H27" i="1"/>
  <c r="J27" i="1"/>
  <c r="H26" i="1"/>
  <c r="J26" i="1"/>
  <c r="H25" i="1"/>
  <c r="J25" i="1"/>
  <c r="H24" i="1"/>
  <c r="J24" i="1"/>
  <c r="H23" i="1"/>
  <c r="J23" i="1"/>
  <c r="H22" i="1"/>
  <c r="J22" i="1"/>
  <c r="H21" i="1"/>
  <c r="J21" i="1"/>
  <c r="H20" i="1"/>
  <c r="J20" i="1"/>
  <c r="H19" i="1"/>
  <c r="J19" i="1"/>
  <c r="H18" i="1"/>
  <c r="J18" i="1"/>
  <c r="H17" i="1"/>
  <c r="A1" i="3" a="1"/>
  <c r="A1" i="3"/>
  <c r="A1" i="4" a="1"/>
  <c r="A1" i="4"/>
  <c r="A1" i="5" a="1"/>
  <c r="A1" i="5"/>
  <c r="A1" i="6" a="1"/>
  <c r="A1" i="6"/>
  <c r="A1" i="7" a="1"/>
  <c r="A1" i="7"/>
  <c r="A1" i="8" a="1"/>
  <c r="A1" i="8"/>
  <c r="A1" i="9" a="1"/>
  <c r="A1" i="9"/>
  <c r="A1" i="2" a="1"/>
  <c r="A1" i="2"/>
  <c r="J493" i="1"/>
  <c r="J325" i="1"/>
  <c r="I237" i="1"/>
  <c r="J420" i="1"/>
  <c r="I394" i="1"/>
  <c r="J147" i="1"/>
  <c r="J178" i="1"/>
  <c r="I206" i="1"/>
  <c r="I420" i="1"/>
  <c r="I325" i="1"/>
  <c r="I457" i="1"/>
  <c r="J457" i="1"/>
  <c r="J394" i="1"/>
  <c r="J237" i="1"/>
  <c r="I147" i="1"/>
  <c r="J206" i="1"/>
  <c r="I493" i="1"/>
  <c r="I58" i="1"/>
  <c r="I59" i="1"/>
  <c r="J494" i="1"/>
  <c r="I49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sharedStrings.xml><?xml version="1.0" encoding="utf-8"?>
<sst xmlns="http://schemas.openxmlformats.org/spreadsheetml/2006/main" count="1057" uniqueCount="445">
  <si>
    <t>BESTILLING/ORDER</t>
  </si>
  <si>
    <t>EURO KURS</t>
  </si>
  <si>
    <t>BOAT/ SHIP:</t>
  </si>
  <si>
    <t>TIME:</t>
  </si>
  <si>
    <t>CONTACT-PERSON E-MAIL:</t>
  </si>
  <si>
    <t>PHONE:</t>
  </si>
  <si>
    <t>NUMMER</t>
  </si>
  <si>
    <t>EAN</t>
  </si>
  <si>
    <t>ITEM</t>
  </si>
  <si>
    <t>QUANTITY</t>
  </si>
  <si>
    <t>STK/PCS/KG</t>
  </si>
  <si>
    <t>QUANTITY IN CARTON</t>
  </si>
  <si>
    <t>PRIS NOK</t>
  </si>
  <si>
    <t>PRICE EUR</t>
  </si>
  <si>
    <t>TOTAL NOK/EUR</t>
  </si>
  <si>
    <t xml:space="preserve">FRUKT / FRUIT </t>
  </si>
  <si>
    <t>QTY</t>
  </si>
  <si>
    <t>QTY IN CRT</t>
  </si>
  <si>
    <t>NOK</t>
  </si>
  <si>
    <t>EURO</t>
  </si>
  <si>
    <t>TOT NOK</t>
  </si>
  <si>
    <t>TOT EUR</t>
  </si>
  <si>
    <t>V.NR KRAEMER</t>
  </si>
  <si>
    <t>ANANAS STK / PINEAPPLE PCS</t>
  </si>
  <si>
    <t>STK/PCS</t>
  </si>
  <si>
    <t>APPELSIN KG / ORANGE KG</t>
  </si>
  <si>
    <t>KG</t>
  </si>
  <si>
    <t>AVOKADO MODNET 2PK / AVOCADO MATURE 2PCS</t>
  </si>
  <si>
    <t>AVOKADO STOR STK / AVOCADO LARGE PCS</t>
  </si>
  <si>
    <t>BANAN KG /BANANA KG</t>
  </si>
  <si>
    <t>BANAN ØKOLOGISK KG / BANANA ORGANIC KG</t>
  </si>
  <si>
    <t>BÆR BJØRNEBÆR 125G  / BLACKBERRY 125G</t>
  </si>
  <si>
    <t>BÆR BLÅBÆR 225G / BLUEBERRY 225G</t>
  </si>
  <si>
    <t>BÆR BRINGEBÆR 125G / RASBERRY 125G</t>
  </si>
  <si>
    <t>BÆR PHYSALIS 125G / PHYSALIS 125G</t>
  </si>
  <si>
    <t>BÆR RIPS 125G /RED CURRANT 125G</t>
  </si>
  <si>
    <t>BÆR JORDBÆR 500G / STRAWBERRY 500G</t>
  </si>
  <si>
    <t>DADLER 600G STK / DATES 600G PCS</t>
  </si>
  <si>
    <t xml:space="preserve"> </t>
  </si>
  <si>
    <t>DRUE FARGET STFR 500G / RED GRAPES 500G</t>
  </si>
  <si>
    <t>DRUE GRØNN STFR 500G / GREEN GRAPES 500G</t>
  </si>
  <si>
    <t>EPLE PINK LADY 6STK /APPLE PINK LADY 6PCS</t>
  </si>
  <si>
    <t>EPLE RØD KG / APPLE RED KG</t>
  </si>
  <si>
    <t>EPLE GRØNNE KG / APPLE GREEN KG</t>
  </si>
  <si>
    <t>EPLE GULE KG / APPLE YELLOW KG</t>
  </si>
  <si>
    <t>FIKEN 3STK / FIGGS 3PCS</t>
  </si>
  <si>
    <t>GRANATEPLE STK / POMEGRANATE PCS</t>
  </si>
  <si>
    <t>GRAPEFRUKT RØD KG / GRAPEFRUIT RED KG</t>
  </si>
  <si>
    <t>KIWI GRØNN STK / KIWI GREEN PCS</t>
  </si>
  <si>
    <t>KIWI GUL 4PK / KIWI YELLOW 4PCS</t>
  </si>
  <si>
    <t>KLEMENTIN KG / CLEMENTINE KG</t>
  </si>
  <si>
    <t>LIME KG / LIME KG</t>
  </si>
  <si>
    <t>MANGO  STK / MANGO PCS</t>
  </si>
  <si>
    <t>MANGO TØRKET SKIVET 400G / MANGO DRIED SLICED 400G</t>
  </si>
  <si>
    <t>MELON CANTALOUPE KG / MELON CANTALOUPE KG</t>
  </si>
  <si>
    <t>MELON HONNING KG / MELON HONEY KG</t>
  </si>
  <si>
    <t>MELON PIEL DE SAPO KG / MELON PIEL DE SAPO KG</t>
  </si>
  <si>
    <t>MELON VANN KG / MELON WATERMELON KG</t>
  </si>
  <si>
    <t>PASJONSFRUKT 3STK / PASSION FRUIT 3PCS</t>
  </si>
  <si>
    <t>PÆRE KG / PEAR KG</t>
  </si>
  <si>
    <t>SITRON KG / LEMON KG</t>
  </si>
  <si>
    <t>LEDIG</t>
  </si>
  <si>
    <t>GRØNNSAKER / VEGETABLES</t>
  </si>
  <si>
    <t>AGURK STK / CUCUMBER PCS</t>
  </si>
  <si>
    <t>ASPARGES GRØNN 250G / ASPARAGUS 250G</t>
  </si>
  <si>
    <t>AUBERGIN  STK / EGGPLANT PCS</t>
  </si>
  <si>
    <t>BETEMIX 1KG BGR / BEET MIX 1KG</t>
  </si>
  <si>
    <t>BLOMKÅL STK / CAULIFLOWER PCS</t>
  </si>
  <si>
    <t>BROKKOLI STK / BROCCOLI PCS</t>
  </si>
  <si>
    <t>BROKKOLINI 200G STK / BROCCOLINI 200G</t>
  </si>
  <si>
    <t>BØNNE ASPARGES 200G / HARICOTS VERTS 200G</t>
  </si>
  <si>
    <t>CHILI RØD 50G / CHILI RED 50G</t>
  </si>
  <si>
    <t>CHILI GRØNN 50G / CHILI GREEN 50G</t>
  </si>
  <si>
    <t>CHILI HABANERO 50G / CHILI HABANERO 50G</t>
  </si>
  <si>
    <t>CHILI JALAPENO GRØNN 50G / CHILI JALAPENO GREEN 50G</t>
  </si>
  <si>
    <t>CHILI RØD KG / CHILI RED KG</t>
  </si>
  <si>
    <t>CHILI RØD RAWIT 50G / CHILE RED RAWIT 50G</t>
  </si>
  <si>
    <t>FENNIKEL 200G / FENNEL 200G</t>
  </si>
  <si>
    <t>GRESSKAR BUTTERNUT KG  /BUTTERNUT SQUASH KG</t>
  </si>
  <si>
    <t>GULROT 1KG POSE / CARROT 1KG BAG</t>
  </si>
  <si>
    <t>GULROT SNACK 250G /CARROT SNACK 250G</t>
  </si>
  <si>
    <t>HODEKÅL KG / CABBAGE GREEN KG</t>
  </si>
  <si>
    <t>HODEKÅL RØD KG / CABBAGE RED KG</t>
  </si>
  <si>
    <t>HODEKÅL SAVOY KG / SAVOY CABBAGE KG</t>
  </si>
  <si>
    <t>INGEFÆR KG / GINGER KG</t>
  </si>
  <si>
    <t>ISBERG STK / ISBERG LETTUCE PCS</t>
  </si>
  <si>
    <t>JORDSKOKK KG / JERUSALEM ARTICHOKE KG</t>
  </si>
  <si>
    <t>KINAKÅL STK / CHINESE CABBAGE PCS</t>
  </si>
  <si>
    <t>KNUTEKÅL KG / TURNIP KALE KG</t>
  </si>
  <si>
    <t>KÅLROT KG / RUTABAGA KG</t>
  </si>
  <si>
    <t>LØK HVITLØK 500G FLETTE / GARLIC BRADE 500G</t>
  </si>
  <si>
    <t>LØK HVITLØK FERSK KG / GARLIC FRESH KG</t>
  </si>
  <si>
    <t>LØK HVITLØK KINA 100G / CHINESE GARLIC 100G</t>
  </si>
  <si>
    <t>LØK HVITLØK 100G / GARLIC 100G</t>
  </si>
  <si>
    <t>LØK STJERNELØK 250G / BABY ONION 250G</t>
  </si>
  <si>
    <t>LØK RØD STRØMPE 400G / RED ONION 400G</t>
  </si>
  <si>
    <t>LØK SJALOTT 250G / SHALLOTS 250G</t>
  </si>
  <si>
    <t>LØK GUL KG / ONION YELLOW KG</t>
  </si>
  <si>
    <t>MAIS KOLBE KOKT 2STK / CORN ON A COB 2PCS</t>
  </si>
  <si>
    <t>NEPE KG / TURNIP KG</t>
  </si>
  <si>
    <t>PAK CHOY STK / PAK CHOY PCS</t>
  </si>
  <si>
    <t>PAPRIKA GRØNN KG / GREEN PEPPER KG</t>
  </si>
  <si>
    <t>PAPRIKA GUL KG / YELLOW PEPPER KG</t>
  </si>
  <si>
    <t>PAPRIKA MIX 3STK / BELLPEPPER MIX 3 PCS</t>
  </si>
  <si>
    <t>PAPRIKA ORANGE KG / PEPPER ORANGE KG</t>
  </si>
  <si>
    <t>PAPRIKA RØD KG / PEPPER RED KG</t>
  </si>
  <si>
    <t>PAPRIKA SNACK PK / SNACK PEPPER PCS</t>
  </si>
  <si>
    <t>PASTINAKK ÄNGLAMARK 200G / PARSNIPS 200G</t>
  </si>
  <si>
    <t>PEPPERROT KG / HORSERADISH KG</t>
  </si>
  <si>
    <t>PEPPERROT TUBE STK / HORSERADISH PASTE PCS</t>
  </si>
  <si>
    <t>PERSILLEROT 200G / PARSLEY ROOT 200G</t>
  </si>
  <si>
    <t>POTET ASSORTERT LØS KG NO / POTATO ASSORTED KG</t>
  </si>
  <si>
    <t>POTET BAKEPOTET KG / BAKING POTATO KG</t>
  </si>
  <si>
    <t>POTET  SMÅ 850G / BABY POTATO 850G</t>
  </si>
  <si>
    <t>PURRE KG / LEEK KG</t>
  </si>
  <si>
    <t>PURRE ÄNGLAMARK KG / LEEK ORGANIC KG</t>
  </si>
  <si>
    <t>REDDIK 150G PK / RADISH 150G</t>
  </si>
  <si>
    <t>ROTMIX ÄNGLAMARK 1KG / ROOTMIX 1KG</t>
  </si>
  <si>
    <t>RØDBETE ÄNGLAMARK 750G / BEETROOT 750G</t>
  </si>
  <si>
    <t>SALAT CRISPI  150G / CRISPY SALAD 150G</t>
  </si>
  <si>
    <t>SALAT GRØNNKÅL VASKET 150G / KALE 150G</t>
  </si>
  <si>
    <t>SALAT HJERTE 2 STK / BABY GEM LETTUCE 2PCS</t>
  </si>
  <si>
    <t>SALAT ROMANO STK / ROMANO SALAD PCS</t>
  </si>
  <si>
    <t>SELLERIROT KG / CELERY ROOT KG</t>
  </si>
  <si>
    <t>SOPP AROMA KG / MUSHROOM AROMA KG</t>
  </si>
  <si>
    <t>SOPP PORTABELLO KG  / MUSHROOM PORTOBELLO KG</t>
  </si>
  <si>
    <t>SOPP SHI TAKE KG  / MUSHROOM SHI TAKE KG</t>
  </si>
  <si>
    <t>SOPP SJAMPINJONG KG  / MUSHROOM KG</t>
  </si>
  <si>
    <t>SOPP ØSTERS KG  / MUSHROOM OYSTER KG</t>
  </si>
  <si>
    <t>SPIRE ALFALFA ØKO STK / ALFA SPROUT PCS</t>
  </si>
  <si>
    <t>SPIRE BROKKOLI ØKO 50G / BROCCOLI SPROUT 50G</t>
  </si>
  <si>
    <t>SPIRE BØNNE ØKO 180G / BEEN SPROUT 180G</t>
  </si>
  <si>
    <t>SPIRE KLØVER ØKO 50G CLOVER SPROUT 50G</t>
  </si>
  <si>
    <t>SPIRE REDDIK ØKO 50G / RADISH SPROUT 50G</t>
  </si>
  <si>
    <t>SQUASH STK / ZUCCHINI PCS</t>
  </si>
  <si>
    <t>STANGSELLERI STK / CELERY PCS</t>
  </si>
  <si>
    <t>SVARTKÅL 200G / BLACK CABBAGE 200G</t>
  </si>
  <si>
    <t>SUKKERERT RUNDE 150G / SUGARSNAPP PEAS 150G</t>
  </si>
  <si>
    <t>SØTPOTET KG /SWEET POTATO KG</t>
  </si>
  <si>
    <t>TOMAT BIFF KG / STEAK TOMATO KG</t>
  </si>
  <si>
    <t>TOMAT CHERRY 250G / CHERRY TOAMATO 250G</t>
  </si>
  <si>
    <t>TOMAT FLAVANCE SMAK 400G / TOMATO FLAVANCE 400G</t>
  </si>
  <si>
    <t>TOMAT KG / TOMATO KG</t>
  </si>
  <si>
    <t>TOMAT KLASE 500G NO / TOMATO ON THE VINE 500G</t>
  </si>
  <si>
    <t>TOMAT PICCOLO 175G / TOMATO PICCOLO 175G</t>
  </si>
  <si>
    <t>VÅRLØK BNT / SCALLIONS PCS</t>
  </si>
  <si>
    <t>URTER &amp; SALATER  / FRESH HERBS AND SALADS</t>
  </si>
  <si>
    <t>BASILIKUM 100G / BASIL 100G</t>
  </si>
  <si>
    <t>BLADPERSILLE 100G / LEAF PARSLEY 100G</t>
  </si>
  <si>
    <t>DILL 100G / DILL 100G</t>
  </si>
  <si>
    <t>ESTRAGON 100G / TARRAGON 100G</t>
  </si>
  <si>
    <t>GRESSLØK 100G / CHIVES 100G</t>
  </si>
  <si>
    <t>KJØRVEL 100G / CHERVIL 100G</t>
  </si>
  <si>
    <t>KORIANDER 100G / CORIANDER 100G</t>
  </si>
  <si>
    <t>KRUSPERSILLE 100G / CURLED PARSLEY 100G</t>
  </si>
  <si>
    <t>MYNTA 100G / MINT 100G</t>
  </si>
  <si>
    <t>OREGANO 100G / OREGANO 100G</t>
  </si>
  <si>
    <t>ROSMARIN 100G / ROSEMARY 100G</t>
  </si>
  <si>
    <t>SALVIE 100G / SAGE 100G</t>
  </si>
  <si>
    <t>SITRONMELISSE 100G / LEMON BALM 100G</t>
  </si>
  <si>
    <t>THAIBASILIKUM 100G /THAIBASIL 100G</t>
  </si>
  <si>
    <t>TIMIAN 100G / THYME 100G</t>
  </si>
  <si>
    <t>BABY SPINAT 500G / BABY SPINACH 500G</t>
  </si>
  <si>
    <t>RUCCOLA 200G / ROCKET 200G</t>
  </si>
  <si>
    <t>RØD LOLLO STK / RED LOLLO ROSSA PCA</t>
  </si>
  <si>
    <t>MEIERI / DAIRY</t>
  </si>
  <si>
    <t>LANGTIDSHOLDBAR MELK 1,5% / LONGLIFE MILK 1,5%</t>
  </si>
  <si>
    <t>LANGTIDSHOLDBAR MELK 3,5% / LONGLIFE MILK 3,5%</t>
  </si>
  <si>
    <t>LANGTIDSHOLDBAR FLØTE 35% / LONGLIFE CREAM 35%</t>
  </si>
  <si>
    <t>LANGTIDSHOLDBAR RØMME 1L / LONGLIFE SOUR CREAM 1L</t>
  </si>
  <si>
    <t>LETTMELK BIB 10L / FRESH MILK 10L BAG IN BOX</t>
  </si>
  <si>
    <t>GRESK YOGHURT 1KG / GREEK YOGHURT 1KG</t>
  </si>
  <si>
    <t>YOGHURT MANGO/PASJON 850G / YOGHURT MANGO/PASSION 850G</t>
  </si>
  <si>
    <t>KYBOS 2,5KG / KYBOS "FETA" 2,5KG</t>
  </si>
  <si>
    <t>MELANGE 500G / PLANTBASED BUTTER 500G</t>
  </si>
  <si>
    <t>SMØR NORMALSALTET 500G / BUTTER SALTED 500G</t>
  </si>
  <si>
    <t>PHILADELFIA NATURELL 200G / CREAM CHEESE 200G</t>
  </si>
  <si>
    <t>GOUDA SKIVET 900G / GOUDA SLICED 900G</t>
  </si>
  <si>
    <t>EGG 18PK /EGGS 18PK</t>
  </si>
  <si>
    <t>FERSKVARER / FRESH MEAT/FISH</t>
  </si>
  <si>
    <t>KOKT SKINKE 150G / COOKED HAM 150G</t>
  </si>
  <si>
    <t>JUBELSALAMI 170G / SALAMI 170G</t>
  </si>
  <si>
    <t>ROASTBIFF 100G / ROASTBEEF 100G</t>
  </si>
  <si>
    <t>TANZI PARMASKINKE 200G / PARMAHAM 200G</t>
  </si>
  <si>
    <t>CHORIZO 130G SKIVET / CHORIZO SLICED 130G</t>
  </si>
  <si>
    <t>PEPPERONI 130G SKIVET / PEPPERONI SLICED 130G</t>
  </si>
  <si>
    <t>RØKT LAKS 260G / SMOKED SALMON 260G</t>
  </si>
  <si>
    <t>KLIPPFISK DYPVIK 400G / CLIPFISH / DRY COD  400G</t>
  </si>
  <si>
    <t>REIN SPEKESNAKK 25G / REINDEER SNACK 25G</t>
  </si>
  <si>
    <t>TORSK LOIN / COD LOIN</t>
  </si>
  <si>
    <t>TORSK FILET / COD FILET</t>
  </si>
  <si>
    <t>LAKS FILET / SALMON FILET</t>
  </si>
  <si>
    <t>HYSE FILET / HADDOCK FILET</t>
  </si>
  <si>
    <t>SEI FILET / POLLOCK FILET</t>
  </si>
  <si>
    <t>BLÅSKJELL / MUSSELS</t>
  </si>
  <si>
    <t>REKER / SHRIMPS</t>
  </si>
  <si>
    <t>KVEITE HEL / HALIBUT WHOLE</t>
  </si>
  <si>
    <t>KVEITE FILET / HALIBUT FILET</t>
  </si>
  <si>
    <t>FLØTEGRATINERTE POTETER 2KG / GRATINATED POTATOES 2KG</t>
  </si>
  <si>
    <t>KARBONADER 120G x 21STK / BEEF PATTY 120G x 21PCS</t>
  </si>
  <si>
    <t>CRT</t>
  </si>
  <si>
    <t>LASAGNE 2KG / LASAGNE 2KG</t>
  </si>
  <si>
    <t>KYLLINGSPYD / CHICKEN SCEWERS</t>
  </si>
  <si>
    <t>FRYSEVARER / FROZEN GOODS</t>
  </si>
  <si>
    <t>KJØTTDEIG 2,5KG / MINCE MEAT 2,5KG</t>
  </si>
  <si>
    <t xml:space="preserve">SVIN INDREFILET / PORK TENDERLOIN </t>
  </si>
  <si>
    <t>SVINENAKKE / PORK NECK</t>
  </si>
  <si>
    <t>NAKKEKOTELETTER / PORK LOIN CHOP 1KG</t>
  </si>
  <si>
    <t xml:space="preserve">SVINERIBBE KG / PORKBELLY </t>
  </si>
  <si>
    <t>ENTRECOTE STORFE / ENTRECOTE</t>
  </si>
  <si>
    <t>INDREFILET STORFE / BEEF TENDERLOIN</t>
  </si>
  <si>
    <t>FINNBIFF 400G / REINDEER FOR STEW 400G</t>
  </si>
  <si>
    <t>BACON 400G / BACON 400G</t>
  </si>
  <si>
    <t>KALKUNFILET / TURKEY FILET KG</t>
  </si>
  <si>
    <t>KYLLINGBRYSTFILET 2,5KG / CHICKEN BREAST 2,5KG</t>
  </si>
  <si>
    <t>KYLLINGLÅR 2,5KG / CHICKEN LEG 2,5KG</t>
  </si>
  <si>
    <t>KYLLINGVINGER 2KG / CHICKEN WINGS 2KG</t>
  </si>
  <si>
    <t>HEL KYLLING 1,5KG / CHICKEN WHOLE 1,5KG</t>
  </si>
  <si>
    <t>ANDELÅR 1KG / DUCKLEGS 1KG</t>
  </si>
  <si>
    <t>ANDEBRYST 4PK 1,2KG / DUCKBREAST 4PC 1,2KG</t>
  </si>
  <si>
    <t xml:space="preserve">SPARERIBS  SOUS VIDE / SPARERIBS PRECOOKED </t>
  </si>
  <si>
    <t>FROKOSTPØLSER 5KG / BREAKFAST SAUSAGE 5KG</t>
  </si>
  <si>
    <t>URTEPØLSER / HERB SAUSAGES</t>
  </si>
  <si>
    <t xml:space="preserve">CHILI TAPASPØLSE 20G / CHILI TAPAS SAUSAGE </t>
  </si>
  <si>
    <t>LAKS HEL FILET CA 2KG / SALMON FILET CA 2 KG</t>
  </si>
  <si>
    <t>TORSK LOIN 4 x 125G / COD LOIN 4 x 125G</t>
  </si>
  <si>
    <t>TORSKEFILET GOUMET 5KG / CODFILET 5KG</t>
  </si>
  <si>
    <t>SEI CORDON BLEU 6,48KG / SEI CORDON BLUE 6,48KG</t>
  </si>
  <si>
    <t>LAKS PORSJON UTEN SKINN 5KG / SALMON PORTION 5KG</t>
  </si>
  <si>
    <t>TORSKELOIN 5KG / COD LOIN 5KG</t>
  </si>
  <si>
    <t>ISHAVSRØYEFILET 5KG / ARCTIC CHAR FILET 5KG</t>
  </si>
  <si>
    <t>LAKSEFILET MED SKINN 15KG / SALMON FILET 15KG</t>
  </si>
  <si>
    <t>BREIFLABBFILET 5KG / BREAMFILET 5KG</t>
  </si>
  <si>
    <t>STEINBIT PORSJON 5KG / CATFISH PORTION 5KG</t>
  </si>
  <si>
    <t>MAKRELLFILET 5KG / MACKEREL FILET 5KG</t>
  </si>
  <si>
    <t>HVALBIFF 5KG / WHALE FILET 5KG</t>
  </si>
  <si>
    <t>KVEITESKIVER 5KG / HALIBUT SLICES 5KG</t>
  </si>
  <si>
    <t>HOKI LOINS PORSJON 5KG / HOKI LOIN PORTION 5KG</t>
  </si>
  <si>
    <t>RØKELAKS SKIVER 1KG / SMOKED SALMON SLICED 1KG</t>
  </si>
  <si>
    <t>SEAFOOD MIX 400G / SEAFOOD MIX 400G</t>
  </si>
  <si>
    <t>SCAMPI BLACK TIGER 1KG / SCAMPI BLACK TIGER 1KG</t>
  </si>
  <si>
    <t>AKKARTUBER 1KG / SQUID TUBES 1KG</t>
  </si>
  <si>
    <t>BROKKOLIBUKETTER 700G / BROCCOLITOPS 700G</t>
  </si>
  <si>
    <t>BLOMKÅLBUKETTER 2KG /CAULIFLOWER 2KG</t>
  </si>
  <si>
    <t>MINIGULROT 450G / MINI CARROTS 450G</t>
  </si>
  <si>
    <t>MINIGULROT 2,5KG / BABY CARROT 2,5KG</t>
  </si>
  <si>
    <t>ERTER 800G / PEAS 800G</t>
  </si>
  <si>
    <t>ERTER 3KG / PEAS 3KG</t>
  </si>
  <si>
    <t>SPINAT 2,5KG /SPINACH 2,5KG</t>
  </si>
  <si>
    <t>SOPPBLANDING 250G / MIXED MUSHROOM 250G</t>
  </si>
  <si>
    <t>WOK BLANDING 2,5KG / WOK MIX 2,5KG</t>
  </si>
  <si>
    <t>ASPARGESBØNNER 2,5KG / ASPARGUSBEANS 2,5KG</t>
  </si>
  <si>
    <t>LØKRINGER 1KG / ONION RINGS 1KG</t>
  </si>
  <si>
    <t>POMMES FRITES  2,5KG / POMMES 2,5KG</t>
  </si>
  <si>
    <t>POMMES FAMIILY 1,8KG / POIMMES 1,8KG</t>
  </si>
  <si>
    <t>JORBÆR 500G / STRAWBERRIES 500G</t>
  </si>
  <si>
    <t>BRINGEBÆR 400G / RASPBERRIES 400G</t>
  </si>
  <si>
    <t>BJØRNEBÆR 400G / BLACKBERRIES 400G</t>
  </si>
  <si>
    <t>BLÅBÆR 400G / BLUEBERRIES 400G</t>
  </si>
  <si>
    <t>ANANAS 250G / PINEAPPLE 250G</t>
  </si>
  <si>
    <t>MANGO 300G / MANGO 300G</t>
  </si>
  <si>
    <t>TROPISK FRUKTBLANDING 2,5KG / TROPIC FRUIT 2,5KG</t>
  </si>
  <si>
    <t>SKOGSBÆR 400G / FORREST BERRIES 400G</t>
  </si>
  <si>
    <t>EGGEHVITE 5L FRYST / EGG WHITE 5L FROZEN</t>
  </si>
  <si>
    <t>EGGEPLOMMER 5L FRYST / EGG YOLKS 5L FROZEN</t>
  </si>
  <si>
    <t>OMELETTBLANDING 2,5KG / OMELETTEMIX 2,5KG</t>
  </si>
  <si>
    <t>ISKREM VANILJE  4,6L /VANILLA ICECREAM 4,6L</t>
  </si>
  <si>
    <t>ISKREM JORDBÆR 4,6L / STRAWBERRY ICECREAM 4,6L</t>
  </si>
  <si>
    <t>ISKREM SJOKOLADE 4,6L / CHOCOLATE ICECREAM 4,6l</t>
  </si>
  <si>
    <t>SORBET JORDBÆR  4,6L / STRAWBERRY SORBET 4,6L</t>
  </si>
  <si>
    <t>SORBET MANGO  4,6L / MANGO SORBET 4,6L</t>
  </si>
  <si>
    <t>SORBET SITRON 4,6L / LEMON SORBET 4,6L</t>
  </si>
  <si>
    <t>SJOKOLADEFONDANT 20STK / CHOCOLATE FONDANT 20PCS</t>
  </si>
  <si>
    <t>CREME BRULEE 18STK / CREME BRULEE 18 PCS</t>
  </si>
  <si>
    <t>BRINGEBÆRMOUSSE HALVKULE 12STK / RASPB. MOUSSE HALFMOON 12PCS</t>
  </si>
  <si>
    <t>TIRAMISU MOUSSE BEGER 70G 20STK / TIRAMISU PORTION 20PCS</t>
  </si>
  <si>
    <t>MINI CROISANT / MINI CROISANT</t>
  </si>
  <si>
    <t>MINI WIENER MIX / MIXED WINER MINI</t>
  </si>
  <si>
    <t>HATTING FINE RUNDSTYKKER 480G / ROLLS WHITE 480G</t>
  </si>
  <si>
    <t>BRIOCHE HAMBURGERBRØD 4STK / BRIOCHE HAMBURGER BUNS 4PCS</t>
  </si>
  <si>
    <t>BRIOCHEBRØD 500G / BRIOCHE BREAD 500G</t>
  </si>
  <si>
    <t>TOAST LOFF 750G / TOAST WHITE 750G</t>
  </si>
  <si>
    <t>TOAST BRØD 750G / TOAST BROWN 750G</t>
  </si>
  <si>
    <t>TØRRVARER / DRY GOODS</t>
  </si>
  <si>
    <t>HVETEMEL 2KG / WHEATFLOUR 2KG</t>
  </si>
  <si>
    <t>HVETEMEL 25KG / WHEAT FLOUR 25KG</t>
  </si>
  <si>
    <t>MAIZENA 2,5KG / MAIZENA STARCH 2,5KG</t>
  </si>
  <si>
    <t>SUKKER 25KG / SUGAR 25KG</t>
  </si>
  <si>
    <t>SUKKER 1KG / SUGAR 1KG</t>
  </si>
  <si>
    <t>GELATINPLATER 1KG / GELATIN 1KG</t>
  </si>
  <si>
    <t>BAKEPULVER 1KG / BAKING SODA 1KG</t>
  </si>
  <si>
    <t>RAPSOLJE 1L / RAPS OIL 1L</t>
  </si>
  <si>
    <t>OLIVENOLJE 1L / OLIVE OIL 1L</t>
  </si>
  <si>
    <t>SOYAOLJE 10L / SOY OIL 10L</t>
  </si>
  <si>
    <t>OYSTER SAUCE 1L / OYSTER SAUCE 1L</t>
  </si>
  <si>
    <t>BBQ SAUCE BOURBON OG WHISKEY 1125ML / BBQ SAUCE BOURBON 1125ML</t>
  </si>
  <si>
    <t xml:space="preserve">GROVHAKKEDE TOMATER 390G / CRUSHED TOMATO </t>
  </si>
  <si>
    <t>HAKKEDE TOMATER STRIANESE 2,5KG / CRUSHED TOMATO 2,5KG</t>
  </si>
  <si>
    <t>TOMATPURE 850ML / TOMATO PUREE 850ML</t>
  </si>
  <si>
    <t>MAISKORN 2,125KG / MAIS CORN 2,125KG</t>
  </si>
  <si>
    <t>KIKERTER 2,6KG / CHICKPEAS 2,6KG</t>
  </si>
  <si>
    <t>KIDNEYBØNNER 380G / KIDNEYBEANS 380G</t>
  </si>
  <si>
    <t>KIDNEYBØNNER 2,65KG / KIDNEY BEANS 2,65KG</t>
  </si>
  <si>
    <t>BØNNER HVITE 2,6KG / WHITE BEANS 2,6KG</t>
  </si>
  <si>
    <t>GARBANZO BØNNER 3KG / GARBANZO BEANS 3KG</t>
  </si>
  <si>
    <t>SORTE BØNNER 2KG / BLACK BEANS 2KG</t>
  </si>
  <si>
    <t>CANNELINI BØNNER 2,65KG / CANNELINI BEANS 2,6KG</t>
  </si>
  <si>
    <t>TUNFISK I VANN 3KG POSE / TUNA IN WATER 3KG</t>
  </si>
  <si>
    <t>TUNFISK I OLJE 3KG POSE / TUNA IN OIL 3KG</t>
  </si>
  <si>
    <t>SORTE OLIVEN 900G / BLACK OLIVES 900G</t>
  </si>
  <si>
    <t>GRØNNE OLIVEN 900G / GREEN OLIVES 900G</t>
  </si>
  <si>
    <t>MANDARINER 850G / MANDARINS 850G</t>
  </si>
  <si>
    <t>JASMIN RIS 2KG / JASMINE RICE 2KG</t>
  </si>
  <si>
    <t>JAMSIN RIS 5 KG / JASMINE RICE 5KG</t>
  </si>
  <si>
    <t>BASMATI RIS 2KG / BASMATI RICE 2 KG</t>
  </si>
  <si>
    <t>RISOTTORIS 500G / RISOTTO RICE 500G</t>
  </si>
  <si>
    <t>PENNE TRICOLORE 5KG / PENNE TRICOLORE 5KG</t>
  </si>
  <si>
    <t>FARFALLE TRICOLORE 3KG / FARFALLE TRICOLORE 3KG</t>
  </si>
  <si>
    <t>TAGLIATELLE 6KG / TAGLIATELLE 6KG</t>
  </si>
  <si>
    <t>HALVSTEKTE BRØD / HALF BAKED BROWN BREAD</t>
  </si>
  <si>
    <t>HALVSTEKT LOFF / HALV BAKED WHITE BREAD</t>
  </si>
  <si>
    <t>HALVSTEKTE RUNDSTYKKER MIX 8STK / MIXED ROLLS 8PC</t>
  </si>
  <si>
    <t>HALVSTEKTE RUNDSTYKKER FINE 16STK / ROLLS WHITE 16PCS</t>
  </si>
  <si>
    <t>SAFARI KJEKS / CHOCOLATE CHIP COOKIE</t>
  </si>
  <si>
    <t>RITZKJEKS / SALT BISQUIT</t>
  </si>
  <si>
    <t>JAFFA CAKES / ORANGE COOKIE</t>
  </si>
  <si>
    <t>PISTASJENØTTER 140G / PISTACHIO 140G</t>
  </si>
  <si>
    <t>VALNØTTER 200G / WALNUTS 200G</t>
  </si>
  <si>
    <t>CASHEWNØTTER NATUREL 150G / CASHEWNUTS NATURAL 150G</t>
  </si>
  <si>
    <t>PEANØTTER 360G / PEANUTS 360G</t>
  </si>
  <si>
    <t>GRØNN TE MINT 20POSER / GREEN TEA MINT 20BAGS</t>
  </si>
  <si>
    <t>GRØNN TE  20 POSER / GREEN TEA 20BAGS</t>
  </si>
  <si>
    <t>GRØNN TE SITRON 25 POSER / GREEN TEA W. LEMON 25BAGS</t>
  </si>
  <si>
    <t>EARL GREY 25 POSER / EARL GREY 25BAGS</t>
  </si>
  <si>
    <t>KAFFEBØNNER KOFFEINFRI LAVAZZA 500G / COFFEBEANS COFFEINFREE 500G</t>
  </si>
  <si>
    <t>HELE KAFFEBØNNER 1 KG / COFFEE BEANS 1KG LAVAZZA</t>
  </si>
  <si>
    <t>HELE KAFFEBØNNER CREMA 1KG / COFFEE BEANS CREME 1KG</t>
  </si>
  <si>
    <t>STARBUCK ESPRESSO HELE BØNNER 200G / SB ESPRESSO WHOLE BEANS</t>
  </si>
  <si>
    <t>STARBUCKS HOUSE BLEND HELE BØNNER 20G / SB HOUSE BLEND WHOLE</t>
  </si>
  <si>
    <t>TORK MULTIFOLD 21x180 / TORK MULTIFOLD 21CM</t>
  </si>
  <si>
    <t>ENGANGSHANSKER SMALL 100STK / DISPOSABLE GLOVE SMALL 100PCS</t>
  </si>
  <si>
    <t>ENGANGSHANSKER MEDIUM 100STK / DISPOSABLE GLOVE MEDIUM 100PCS</t>
  </si>
  <si>
    <t>ENGANSHANSKER LARGE 100STK / DISPOSABLE GLOVE LARGE 100PCS</t>
  </si>
  <si>
    <t>ENGANGSHANSKER X-LARGE 100STK / DISPOSABLE GLOVE X-LARGE 100PCS</t>
  </si>
  <si>
    <t>KRYDDER / DRY SPICES</t>
  </si>
  <si>
    <t>V.NR SOLINA</t>
  </si>
  <si>
    <t>SORT PEPPER GROVMALT 3KG / BLACK PEPPER CRUSHED 3KG</t>
  </si>
  <si>
    <t>SORT PEPPER FINMALT 2KG / BLACK PEPPER POWDER 2KG</t>
  </si>
  <si>
    <t>HVIT PEPPER FINMALT 1KG / WHITE PEPPER POWDER 1KG</t>
  </si>
  <si>
    <t>PROVANCEKRYDDER 500G / HERB DE PROVENCE 500G</t>
  </si>
  <si>
    <t>KARRI 500G / CURRY 500G</t>
  </si>
  <si>
    <t>HVITLØKSPULVER 500G / GARLIC POWDER 500G</t>
  </si>
  <si>
    <t>HVITLØKSPEPPER 2,5KG / GARLICPEPPER 2,5KG</t>
  </si>
  <si>
    <t>ESTRAGON 500G / TARRAGON 500G</t>
  </si>
  <si>
    <t>RAMSLØK TØRKET 500G / RAMSON 500G</t>
  </si>
  <si>
    <t>SORT PEPPER HEL 1KG / BLACK PEPPER WHOLE 1KG</t>
  </si>
  <si>
    <t>BASILKUM 500G / BASIL 500G</t>
  </si>
  <si>
    <t>TØRKET LØK 1KG / DRIED ONION 1KG</t>
  </si>
  <si>
    <t>OREGANO 500G / OREGANO 500G</t>
  </si>
  <si>
    <t>PERSILLE 500G / PARSLEY 500G</t>
  </si>
  <si>
    <t>GRESSLØK 400G / CHIVES 400G</t>
  </si>
  <si>
    <t>MUSKATNØTT 1KG / NUTMEG 1KG</t>
  </si>
  <si>
    <t>AROMAT 1,2KG / AROMAT 1,2KG</t>
  </si>
  <si>
    <t>DRIKKE / BEVERAGES</t>
  </si>
  <si>
    <t xml:space="preserve">EAN </t>
  </si>
  <si>
    <t>APPELSINJUICE 1,5L / ORANGE JUICE 1,5L</t>
  </si>
  <si>
    <t>EPLEJUICE 1,5L / APPELJUICE 1,5L</t>
  </si>
  <si>
    <t>FROKOSTJUICE 1,5l / MULTIJUICE 1,5L</t>
  </si>
  <si>
    <t>TRANEBÆRJUICE 1L / CRANBERRYJUICE 1L</t>
  </si>
  <si>
    <t>TOMATJUICE 1L / TOMATOJUICE 1L</t>
  </si>
  <si>
    <t>ANANASJUICE 1L / PINEAPPLE JUICE 1L</t>
  </si>
  <si>
    <t>SITRON JUICE REALLEMON / LEMON JUICE REALLEMON 10L</t>
  </si>
  <si>
    <t>SITRON JUICE REALLEMON / LEMON JUICE REALLEMON 1L</t>
  </si>
  <si>
    <t>OATLY HAVREMELK 1L / OATLY OATMILK 1L</t>
  </si>
  <si>
    <t>SOYAMELK USØTET 1L / ALPRO SOY MILK UNSWEETEND 1L</t>
  </si>
  <si>
    <t>ALPRO MANDELMELK 1L / ALPRO ALMOND MILK 1L</t>
  </si>
  <si>
    <t>COCA COLA BX STK / COCA COLA BX PCS</t>
  </si>
  <si>
    <t>COCA COLA ZERO BX STK / COCA COLA ZERO BX PCS</t>
  </si>
  <si>
    <t>FANTA BX / FANTA ORANGE BX</t>
  </si>
  <si>
    <t>PEPSI MAX BX  / PEPSI MAX BX PCS</t>
  </si>
  <si>
    <t>SPRITE BX / SPRITE  BX</t>
  </si>
  <si>
    <t>COCA COLA LIGHT BX / DIET COKE BX</t>
  </si>
  <si>
    <t>FANTA SITRON BX / FANTA LEMON BX</t>
  </si>
  <si>
    <t>GINGER ALE BX / GINGER ALE BX</t>
  </si>
  <si>
    <t>TONIC BX / TONIC WATER BX</t>
  </si>
  <si>
    <t>ERDINGER ALKOHOLFRI ØL 0,5L / ERDINGER ALCOHOLFREE BEER 0,5L</t>
  </si>
  <si>
    <t>MACK ISBJØRN ALKOHOLFRI 0,33L / MACK ISBJORN ALCOHOLFREE 0,33L</t>
  </si>
  <si>
    <t>VANN 1,5L / WATER 1,5L STILL</t>
  </si>
  <si>
    <t>VANN ISBRE 0,33L  / STILL WATER 0,33L</t>
  </si>
  <si>
    <t xml:space="preserve">VANN MED KULLSYRE  / WATER SPARKLING </t>
  </si>
  <si>
    <t xml:space="preserve">VANN MED KULLSYRE SITRON BX / WATER SPARLING LEMON </t>
  </si>
  <si>
    <t>VANN MED KULLSYRE ISKLAR 0,46L / WATER SPARKLING BTL 0,46L</t>
  </si>
  <si>
    <t>VANN 5L STILLE / WATER 5L STILL</t>
  </si>
  <si>
    <t>NORDPOLET</t>
  </si>
  <si>
    <t>WHITE Les Champs d'Or Chardonnay</t>
  </si>
  <si>
    <t>WHITE Brocard Saint Bris</t>
  </si>
  <si>
    <t>WHITE Mezzacorona Pinot Grigio</t>
  </si>
  <si>
    <t>WHITE Winter Riesling Trocken</t>
  </si>
  <si>
    <t>ROSÈ Ultimate Provance Rose</t>
  </si>
  <si>
    <t>SPARKLING Gancia Prosecco</t>
  </si>
  <si>
    <t>SPARKLING Delorme Cremant de Bourgogne</t>
  </si>
  <si>
    <t>RED El Esteco Malbec</t>
  </si>
  <si>
    <t>RED Tommasi Rafael Valpolicella Classico</t>
  </si>
  <si>
    <t>RED Concha y Toro Cabernet Sauvignon</t>
  </si>
  <si>
    <t>LIQ Absolut Vodka 1 liter</t>
  </si>
  <si>
    <t>LIQ Beefeater Gin 1 liter</t>
  </si>
  <si>
    <t>LIQ Havana Club 3 años 1 liter</t>
  </si>
  <si>
    <t>LIQ Jameson 1 liter</t>
  </si>
  <si>
    <t>LIQ Jack Daniels 1 liter</t>
  </si>
  <si>
    <t>LIQ De Luze VSOP Special Tribute 1 liter</t>
  </si>
  <si>
    <t>LIQ SVALBARD XO 1L COGNAC</t>
  </si>
  <si>
    <t>LIQ SVALBARD VSOP 1L COGNAC</t>
  </si>
  <si>
    <t>LIQ SVALBARD AQUAVIT 1L</t>
  </si>
  <si>
    <t>BEER SPITSBERGEN BLONDE 0,33BX</t>
  </si>
  <si>
    <t>BEER SPITSBERGEN IPA 0,33BX</t>
  </si>
  <si>
    <t>BEER SPITSBERGEN PALE ALE 0,33BX</t>
  </si>
  <si>
    <t>BEER SPITSBERGEN PILSNER 0,33BX</t>
  </si>
  <si>
    <t>BEER SPITSBERGEN WEISSBIER 0,33BX</t>
  </si>
  <si>
    <t>BEER CARLSBERG 0,33L</t>
  </si>
  <si>
    <t>BEER MACK ISBJØRN 0,33</t>
  </si>
  <si>
    <t>TILLEGGSVARER / OTHER ITEMS</t>
  </si>
  <si>
    <t>VARENUMMER KRAEMER</t>
  </si>
  <si>
    <t>VARE</t>
  </si>
  <si>
    <t>ANTALL</t>
  </si>
  <si>
    <t>ENHET</t>
  </si>
  <si>
    <t>V.NR KRAMER</t>
  </si>
  <si>
    <t>AVOKADO 800G NETT / AVOCADO BAG 800G</t>
  </si>
  <si>
    <t>ACCOUNTNUMBER:</t>
  </si>
  <si>
    <t>PO-NUMBER</t>
  </si>
  <si>
    <t>DELIVERY LOCATION:</t>
  </si>
  <si>
    <t>SALATMIX 250G/MIXED LEAFSALAD 250G</t>
  </si>
  <si>
    <t>PICK-UP FROM STORE:</t>
  </si>
  <si>
    <t>TOTAL SUM:</t>
  </si>
  <si>
    <t>MON AMI BRIE 500G</t>
  </si>
  <si>
    <t>MASCARPONE 250G</t>
  </si>
  <si>
    <t>MOZZARELLA 125G</t>
  </si>
  <si>
    <t>YOGHURT NATURELL 1KG / YOGHURT NATURELL 1KG</t>
  </si>
  <si>
    <t>YOGHURT VANILJE 1KG / YOGHURT VANILLA 1KG</t>
  </si>
  <si>
    <t>YOGHURT SKOGSBÆR 1KG / YOGHURT BERRIES 1KG</t>
  </si>
  <si>
    <t>YOGHURT SITRON/LIME 1KG / YOGHURT LEMON/LIME 1KG</t>
  </si>
  <si>
    <t>YOGHURT JORDBÆR 1KG / YOGHURT STRAWBERRIES 1KG</t>
  </si>
  <si>
    <t>YOGHURT SESSONG MIX 8PK / YOGHURT SEASON MIX 8PK</t>
  </si>
  <si>
    <t xml:space="preserve">DELIVERY DATE: </t>
  </si>
  <si>
    <t>CHAMPAGNE Bonnet Grand Reserve</t>
  </si>
  <si>
    <t>RED Ch. Dudon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</si>
</sst>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</cellStyleXfs>
  <cellXfs count="217">
    <xf numFmtId="0" fontId="0" fillId="0" borderId="0" xfId="0"/>
    <xf numFmtId="0" fontId="1" fillId="4" borderId="0" xfId="0" applyFont="1" applyFill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13" xfId="0" applyBorder="1"/>
    <xf numFmtId="0" fontId="15" fillId="0" borderId="13" xfId="0" applyFont="1" applyBorder="1"/>
    <xf numFmtId="0" fontId="0" fillId="12" borderId="13" xfId="0" applyFill="1" applyBorder="1"/>
    <xf numFmtId="0" fontId="15" fillId="12" borderId="13" xfId="0" applyFont="1" applyFill="1" applyBorder="1"/>
    <xf numFmtId="0" fontId="0" fillId="12" borderId="13" xfId="0" applyFill="1" applyBorder="1" applyAlignment="1">
      <alignment horizontal="center"/>
    </xf>
    <xf numFmtId="0" fontId="15" fillId="12" borderId="13" xfId="0" applyFont="1" applyFill="1" applyBorder="1" applyAlignment="1">
      <alignment horizontal="center"/>
    </xf>
    <xf numFmtId="2" fontId="0" fillId="12" borderId="13" xfId="0" applyNumberForma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0" fillId="11" borderId="13" xfId="0" applyFill="1" applyBorder="1" applyAlignment="1">
      <alignment horizontal="center"/>
    </xf>
    <xf numFmtId="0" fontId="15" fillId="11" borderId="13" xfId="0" applyFont="1" applyFill="1" applyBorder="1" applyAlignment="1">
      <alignment horizontal="center"/>
    </xf>
    <xf numFmtId="1" fontId="15" fillId="11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9" borderId="13" xfId="0" applyFill="1" applyBorder="1"/>
    <xf numFmtId="0" fontId="0" fillId="13" borderId="13" xfId="0" applyFill="1" applyBorder="1"/>
    <xf numFmtId="0" fontId="0" fillId="10" borderId="13" xfId="0" applyFill="1" applyBorder="1"/>
    <xf numFmtId="0" fontId="0" fillId="14" borderId="13" xfId="0" applyFill="1" applyBorder="1"/>
    <xf numFmtId="0" fontId="0" fillId="15" borderId="13" xfId="0" applyFill="1" applyBorder="1"/>
    <xf numFmtId="0" fontId="0" fillId="16" borderId="13" xfId="0" applyFill="1" applyBorder="1"/>
    <xf numFmtId="0" fontId="0" fillId="17" borderId="13" xfId="0" applyFill="1" applyBorder="1"/>
    <xf numFmtId="0" fontId="0" fillId="18" borderId="13" xfId="0" applyFill="1" applyBorder="1"/>
    <xf numFmtId="0" fontId="0" fillId="19" borderId="13" xfId="0" applyFill="1" applyBorder="1"/>
    <xf numFmtId="0" fontId="0" fillId="8" borderId="13" xfId="0" applyFill="1" applyBorder="1"/>
    <xf numFmtId="0" fontId="0" fillId="9" borderId="13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8" borderId="13" xfId="0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5" fillId="9" borderId="20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left"/>
    </xf>
    <xf numFmtId="164" fontId="5" fillId="9" borderId="9" xfId="0" applyNumberFormat="1" applyFont="1" applyFill="1" applyBorder="1" applyAlignment="1">
      <alignment horizontal="left"/>
    </xf>
    <xf numFmtId="0" fontId="5" fillId="9" borderId="23" xfId="0" applyFont="1" applyFill="1" applyBorder="1" applyAlignment="1">
      <alignment horizontal="left"/>
    </xf>
    <xf numFmtId="0" fontId="17" fillId="9" borderId="28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17" fillId="9" borderId="27" xfId="0" applyFont="1" applyFill="1" applyBorder="1" applyAlignment="1">
      <alignment horizontal="left"/>
    </xf>
    <xf numFmtId="14" fontId="5" fillId="9" borderId="2" xfId="0" applyNumberFormat="1" applyFont="1" applyFill="1" applyBorder="1" applyAlignment="1">
      <alignment horizontal="left"/>
    </xf>
    <xf numFmtId="0" fontId="0" fillId="20" borderId="13" xfId="0" applyFill="1" applyBorder="1"/>
    <xf numFmtId="0" fontId="0" fillId="20" borderId="13" xfId="0" applyFill="1" applyBorder="1" applyAlignment="1">
      <alignment horizontal="center"/>
    </xf>
    <xf numFmtId="1" fontId="0" fillId="9" borderId="13" xfId="0" applyNumberFormat="1" applyFill="1" applyBorder="1"/>
    <xf numFmtId="1" fontId="0" fillId="13" borderId="13" xfId="0" applyNumberFormat="1" applyFill="1" applyBorder="1"/>
    <xf numFmtId="1" fontId="0" fillId="10" borderId="13" xfId="0" applyNumberFormat="1" applyFill="1" applyBorder="1"/>
    <xf numFmtId="1" fontId="0" fillId="14" borderId="13" xfId="0" applyNumberFormat="1" applyFill="1" applyBorder="1"/>
    <xf numFmtId="1" fontId="0" fillId="15" borderId="13" xfId="0" applyNumberFormat="1" applyFill="1" applyBorder="1"/>
    <xf numFmtId="1" fontId="0" fillId="16" borderId="13" xfId="0" applyNumberFormat="1" applyFill="1" applyBorder="1"/>
    <xf numFmtId="1" fontId="0" fillId="17" borderId="13" xfId="0" applyNumberFormat="1" applyFill="1" applyBorder="1"/>
    <xf numFmtId="1" fontId="0" fillId="18" borderId="13" xfId="0" applyNumberFormat="1" applyFill="1" applyBorder="1"/>
    <xf numFmtId="1" fontId="0" fillId="19" borderId="13" xfId="0" applyNumberFormat="1" applyFill="1" applyBorder="1"/>
    <xf numFmtId="1" fontId="0" fillId="8" borderId="13" xfId="0" applyNumberFormat="1" applyFill="1" applyBorder="1"/>
    <xf numFmtId="0" fontId="5" fillId="9" borderId="29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164" fontId="5" fillId="9" borderId="30" xfId="0" applyNumberFormat="1" applyFont="1" applyFill="1" applyBorder="1" applyAlignment="1">
      <alignment horizontal="left"/>
    </xf>
    <xf numFmtId="0" fontId="5" fillId="9" borderId="21" xfId="0" applyFont="1" applyFill="1" applyBorder="1" applyAlignment="1">
      <alignment horizontal="left"/>
    </xf>
    <xf numFmtId="14" fontId="5" fillId="9" borderId="31" xfId="0" applyNumberFormat="1" applyFont="1" applyFill="1" applyBorder="1" applyAlignment="1">
      <alignment horizontal="left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" fontId="9" fillId="1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10" borderId="20" xfId="0" applyFont="1" applyFill="1" applyBorder="1" applyAlignment="1" applyProtection="1">
      <alignment vertical="center"/>
      <protection locked="0"/>
    </xf>
    <xf numFmtId="49" fontId="9" fillId="1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7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6" borderId="13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8" borderId="13" xfId="0" applyFill="1" applyBorder="1" applyProtection="1">
      <protection locked="0"/>
    </xf>
    <xf numFmtId="0" fontId="10" fillId="9" borderId="4" xfId="0" applyFont="1" applyFill="1" applyBorder="1" applyAlignment="1">
      <alignment vertical="center"/>
    </xf>
    <xf numFmtId="0" fontId="0" fillId="7" borderId="14" xfId="0" applyFill="1" applyBorder="1"/>
    <xf numFmtId="0" fontId="0" fillId="7" borderId="13" xfId="0" applyFill="1" applyBorder="1" applyAlignment="1">
      <alignment horizontal="center" vertical="center"/>
    </xf>
    <xf numFmtId="2" fontId="7" fillId="7" borderId="13" xfId="0" applyNumberFormat="1" applyFont="1" applyFill="1" applyBorder="1" applyAlignment="1">
      <alignment horizontal="center"/>
    </xf>
    <xf numFmtId="2" fontId="7" fillId="8" borderId="13" xfId="0" applyNumberFormat="1" applyFont="1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/>
    </xf>
    <xf numFmtId="2" fontId="7" fillId="7" borderId="13" xfId="0" applyNumberFormat="1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2" fontId="7" fillId="7" borderId="10" xfId="0" applyNumberFormat="1" applyFont="1" applyFill="1" applyBorder="1" applyAlignment="1">
      <alignment horizontal="center" vertical="center"/>
    </xf>
    <xf numFmtId="2" fontId="7" fillId="7" borderId="10" xfId="0" applyNumberFormat="1" applyFont="1" applyFill="1" applyBorder="1" applyAlignment="1">
      <alignment horizontal="center"/>
    </xf>
    <xf numFmtId="2" fontId="7" fillId="8" borderId="10" xfId="0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3" xfId="0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center" vertical="center"/>
    </xf>
    <xf numFmtId="0" fontId="0" fillId="7" borderId="13" xfId="0" applyFill="1" applyBorder="1"/>
    <xf numFmtId="1" fontId="0" fillId="6" borderId="13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0" fontId="0" fillId="7" borderId="10" xfId="0" applyFill="1" applyBorder="1"/>
    <xf numFmtId="0" fontId="0" fillId="7" borderId="10" xfId="0" applyFill="1" applyBorder="1" applyAlignment="1">
      <alignment horizontal="center"/>
    </xf>
    <xf numFmtId="2" fontId="0" fillId="7" borderId="13" xfId="0" applyNumberFormat="1" applyFill="1" applyBorder="1" applyAlignment="1">
      <alignment horizontal="center"/>
    </xf>
    <xf numFmtId="0" fontId="0" fillId="7" borderId="13" xfId="0" applyFill="1" applyBorder="1" applyAlignment="1">
      <alignment horizontal="left"/>
    </xf>
    <xf numFmtId="0" fontId="0" fillId="6" borderId="16" xfId="0" applyFill="1" applyBorder="1" applyAlignment="1">
      <alignment horizontal="center"/>
    </xf>
    <xf numFmtId="1" fontId="0" fillId="6" borderId="16" xfId="0" applyNumberForma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1" fontId="11" fillId="6" borderId="13" xfId="0" applyNumberFormat="1" applyFont="1" applyFill="1" applyBorder="1" applyAlignment="1">
      <alignment horizontal="center"/>
    </xf>
    <xf numFmtId="0" fontId="0" fillId="7" borderId="26" xfId="0" applyFill="1" applyBorder="1"/>
    <xf numFmtId="0" fontId="0" fillId="6" borderId="25" xfId="0" applyFill="1" applyBorder="1" applyAlignment="1">
      <alignment horizontal="center"/>
    </xf>
    <xf numFmtId="1" fontId="12" fillId="6" borderId="13" xfId="0" applyNumberFormat="1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0" fillId="6" borderId="13" xfId="0" applyFill="1" applyBorder="1"/>
    <xf numFmtId="2" fontId="0" fillId="7" borderId="13" xfId="0" applyNumberFormat="1" applyFill="1" applyBorder="1"/>
    <xf numFmtId="0" fontId="1" fillId="4" borderId="32" xfId="0" applyFont="1" applyFill="1" applyBorder="1" applyAlignment="1">
      <alignment horizontal="center"/>
    </xf>
    <xf numFmtId="0" fontId="0" fillId="21" borderId="13" xfId="0" applyFill="1" applyBorder="1" applyAlignment="1" applyProtection="1">
      <alignment horizontal="center"/>
      <protection locked="0"/>
    </xf>
    <xf numFmtId="2" fontId="7" fillId="8" borderId="25" xfId="0" applyNumberFormat="1" applyFont="1" applyFill="1" applyBorder="1" applyAlignment="1">
      <alignment horizontal="center"/>
    </xf>
    <xf numFmtId="0" fontId="0" fillId="21" borderId="13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1" borderId="16" xfId="0" applyFill="1" applyBorder="1" applyAlignment="1" applyProtection="1">
      <alignment horizontal="center"/>
      <protection locked="0"/>
    </xf>
    <xf numFmtId="0" fontId="0" fillId="21" borderId="10" xfId="0" applyFill="1" applyBorder="1" applyAlignment="1" applyProtection="1">
      <alignment horizontal="center"/>
      <protection locked="0"/>
    </xf>
    <xf numFmtId="0" fontId="0" fillId="21" borderId="24" xfId="0" applyFill="1" applyBorder="1" applyProtection="1">
      <protection locked="0"/>
    </xf>
    <xf numFmtId="0" fontId="0" fillId="21" borderId="25" xfId="0" applyFill="1" applyBorder="1" applyProtection="1">
      <protection locked="0"/>
    </xf>
    <xf numFmtId="0" fontId="1" fillId="4" borderId="33" xfId="0" applyFont="1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/>
    <xf numFmtId="0" fontId="19" fillId="4" borderId="0" xfId="0" applyFont="1" applyFill="1"/>
    <xf numFmtId="2" fontId="15" fillId="12" borderId="25" xfId="0" applyNumberFormat="1" applyFont="1" applyFill="1" applyBorder="1" applyAlignment="1">
      <alignment horizontal="center"/>
    </xf>
    <xf numFmtId="2" fontId="0" fillId="12" borderId="25" xfId="0" applyNumberForma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1" fontId="0" fillId="6" borderId="11" xfId="0" applyNumberFormat="1" applyFill="1" applyBorder="1" applyAlignment="1">
      <alignment horizontal="center"/>
    </xf>
    <xf numFmtId="1" fontId="0" fillId="6" borderId="14" xfId="0" applyNumberFormat="1" applyFill="1" applyBorder="1" applyAlignment="1">
      <alignment horizontal="center"/>
    </xf>
    <xf numFmtId="0" fontId="0" fillId="7" borderId="26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0" fillId="11" borderId="10" xfId="0" applyFill="1" applyBorder="1" applyAlignment="1">
      <alignment horizontal="center"/>
    </xf>
    <xf numFmtId="1" fontId="0" fillId="11" borderId="10" xfId="0" applyNumberFormat="1" applyFill="1" applyBorder="1" applyAlignment="1">
      <alignment horizontal="center"/>
    </xf>
    <xf numFmtId="0" fontId="0" fillId="12" borderId="10" xfId="0" applyFill="1" applyBorder="1"/>
    <xf numFmtId="0" fontId="0" fillId="0" borderId="10" xfId="0" applyBorder="1"/>
    <xf numFmtId="0" fontId="0" fillId="12" borderId="10" xfId="0" applyFill="1" applyBorder="1" applyAlignment="1">
      <alignment horizontal="center"/>
    </xf>
    <xf numFmtId="2" fontId="0" fillId="12" borderId="14" xfId="0" applyNumberFormat="1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1" borderId="13" xfId="0" applyFill="1" applyBorder="1" applyAlignment="1">
      <alignment horizontal="center"/>
    </xf>
    <xf numFmtId="1" fontId="0" fillId="21" borderId="13" xfId="0" applyNumberFormat="1" applyFill="1" applyBorder="1" applyAlignment="1">
      <alignment horizontal="center"/>
    </xf>
    <xf numFmtId="0" fontId="0" fillId="7" borderId="14" xfId="0" applyFill="1" applyBorder="1" applyAlignment="1">
      <alignment horizontal="left"/>
    </xf>
    <xf numFmtId="1" fontId="0" fillId="6" borderId="10" xfId="0" applyNumberFormat="1" applyFill="1" applyBorder="1"/>
    <xf numFmtId="2" fontId="0" fillId="21" borderId="13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>
      <alignment horizontal="left" vertical="center"/>
    </xf>
    <xf numFmtId="0" fontId="0" fillId="3" borderId="25" xfId="0" applyFill="1" applyBorder="1" applyProtection="1">
      <protection locked="0"/>
    </xf>
    <xf numFmtId="0" fontId="0" fillId="21" borderId="13" xfId="0" applyFill="1" applyBorder="1"/>
    <xf numFmtId="0" fontId="3" fillId="10" borderId="20" xfId="1" applyFill="1" applyBorder="1" applyAlignment="1" applyProtection="1">
      <alignment vertical="center"/>
      <protection locked="0"/>
    </xf>
    <xf numFmtId="0" fontId="8" fillId="23" borderId="4" xfId="3" applyFont="1" applyBorder="1" applyAlignment="1" applyProtection="1">
      <alignment vertical="center"/>
      <protection locked="0"/>
    </xf>
    <xf numFmtId="0" fontId="21" fillId="22" borderId="20" xfId="2" applyBorder="1" applyAlignment="1" applyProtection="1">
      <alignment vertical="center"/>
      <protection locked="0"/>
    </xf>
    <xf numFmtId="0" fontId="20" fillId="23" borderId="6" xfId="3" applyBorder="1" applyAlignment="1" applyProtection="1">
      <alignment vertical="center"/>
      <protection locked="0"/>
    </xf>
    <xf numFmtId="16" fontId="20" fillId="23" borderId="3" xfId="3" applyNumberFormat="1" applyBorder="1" applyAlignment="1" applyProtection="1">
      <alignment vertical="center"/>
      <protection locked="0"/>
    </xf>
    <xf numFmtId="0" fontId="21" fillId="22" borderId="9" xfId="2" applyBorder="1"/>
    <xf numFmtId="0" fontId="20" fillId="23" borderId="21" xfId="3" applyBorder="1"/>
    <xf numFmtId="0" fontId="20" fillId="23" borderId="2" xfId="3" applyBorder="1"/>
    <xf numFmtId="0" fontId="8" fillId="23" borderId="1" xfId="3" applyFont="1" applyBorder="1"/>
    <xf numFmtId="0" fontId="0" fillId="7" borderId="14" xfId="0" applyFill="1" applyBorder="1" applyAlignment="1">
      <alignment horizontal="center"/>
    </xf>
    <xf numFmtId="2" fontId="0" fillId="0" borderId="0" xfId="0" applyNumberFormat="1" applyProtection="1">
      <protection locked="0"/>
    </xf>
    <xf numFmtId="0" fontId="22" fillId="0" borderId="0" xfId="0" applyFont="1" applyProtection="1">
      <protection locked="0"/>
    </xf>
    <xf numFmtId="0" fontId="23" fillId="3" borderId="10" xfId="0" applyFont="1" applyFill="1" applyBorder="1" applyAlignment="1" applyProtection="1">
      <alignment horizontal="center"/>
      <protection locked="0"/>
    </xf>
    <xf numFmtId="0" fontId="21" fillId="22" borderId="7" xfId="2" applyBorder="1" applyProtection="1">
      <protection locked="0"/>
    </xf>
    <xf numFmtId="0" fontId="21" fillId="22" borderId="8" xfId="2" applyBorder="1" applyProtection="1">
      <protection locked="0"/>
    </xf>
    <xf numFmtId="0" fontId="8" fillId="23" borderId="5" xfId="3" applyFont="1" applyBorder="1" applyAlignment="1" applyProtection="1">
      <alignment vertical="center"/>
    </xf>
    <xf numFmtId="0" fontId="8" fillId="2" borderId="0" xfId="0" applyFont="1" applyFill="1" applyAlignment="1">
      <alignment horizontal="center"/>
    </xf>
    <xf numFmtId="0" fontId="10" fillId="9" borderId="5" xfId="0" applyFont="1" applyFill="1" applyBorder="1" applyAlignment="1">
      <alignment vertical="center"/>
    </xf>
    <xf numFmtId="0" fontId="10" fillId="9" borderId="6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49" fontId="9" fillId="10" borderId="7" xfId="1" applyNumberFormat="1" applyFont="1" applyFill="1" applyBorder="1" applyAlignment="1" applyProtection="1">
      <alignment horizontal="center" vertical="center"/>
      <protection locked="0"/>
    </xf>
    <xf numFmtId="49" fontId="9" fillId="10" borderId="8" xfId="1" applyNumberFormat="1" applyFont="1" applyFill="1" applyBorder="1" applyAlignment="1" applyProtection="1">
      <alignment horizontal="center" vertical="center"/>
      <protection locked="0"/>
    </xf>
    <xf numFmtId="49" fontId="9" fillId="1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 vertical="center"/>
    </xf>
    <xf numFmtId="0" fontId="10" fillId="9" borderId="1" xfId="0" applyFont="1" applyFill="1" applyBorder="1" applyAlignment="1" applyProtection="1">
      <alignment vertical="center"/>
      <protection locked="0"/>
    </xf>
    <xf numFmtId="0" fontId="10" fillId="9" borderId="21" xfId="0" applyFont="1" applyFill="1" applyBorder="1" applyAlignment="1" applyProtection="1">
      <alignment vertical="center"/>
      <protection locked="0"/>
    </xf>
    <xf numFmtId="0" fontId="21" fillId="22" borderId="7" xfId="2" applyBorder="1" applyProtection="1">
      <protection locked="0"/>
    </xf>
    <xf numFmtId="0" fontId="21" fillId="22" borderId="8" xfId="2" applyBorder="1" applyProtection="1">
      <protection locked="0"/>
    </xf>
    <xf numFmtId="0" fontId="21" fillId="22" borderId="9" xfId="2" applyBorder="1" applyProtection="1">
      <protection locked="0"/>
    </xf>
    <xf numFmtId="2" fontId="1" fillId="4" borderId="11" xfId="0" applyNumberFormat="1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</cellXfs>
  <cellStyles count="4">
    <cellStyle name="60 % – uthevingsfarge 6" xfId="3" builtinId="52"/>
    <cellStyle name="God" xfId="2" builtinId="26"/>
    <cellStyle name="Hyperkobling" xfId="1" builtinId="8"/>
    <cellStyle name="Normal" xfId="0" builtinId="0"/>
  </cellStyles>
  <dxfs count="146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2" formatCode="0.00"/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i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theme" Target="theme/theme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8</v>
    <v>8</v>
    <v>9</v>
    <v>6</v>
  </rv>
  <rv s="0">
    <v>8</v>
    <v>8</v>
    <v>9</v>
    <v>1</v>
  </rv>
  <rv s="0">
    <v>3</v>
    <v>8</v>
    <v>26</v>
    <v>1</v>
  </rv>
  <rv s="0">
    <v>0</v>
    <v>8</v>
    <v>26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29C1D2-2785-41F9-B04F-4BE92DFE1107}" name="Tabell2" displayName="Tabell2" ref="A149:K176" totalsRowShown="0" headerRowDxfId="145" dataDxfId="144">
  <autoFilter ref="A149:K176" xr:uid="{FF29C1D2-2785-41F9-B04F-4BE92DFE1107}"/>
  <sortState xmlns:xlrd2="http://schemas.microsoft.com/office/spreadsheetml/2017/richdata2" ref="A150:K176">
    <sortCondition ref="A149:A176"/>
  </sortState>
  <tableColumns count="11">
    <tableColumn id="4" xr3:uid="{136F6CB9-ADD0-4381-8BCA-B8C91E9DD11B}" name="NUMMER" dataDxfId="143"/>
    <tableColumn id="3" xr3:uid="{84F5EE86-9CE4-43AA-A2A8-6CE83B1D9004}" name="EAN" dataDxfId="142"/>
    <tableColumn id="2" xr3:uid="{8FB8F1A1-B43C-46FB-81C4-356B856661B3}" name="ITEM" dataDxfId="141"/>
    <tableColumn id="1" xr3:uid="{FDB217B1-89E5-442C-B9AC-F74D21A65C1F}" name="QTY" dataDxfId="140"/>
    <tableColumn id="5" xr3:uid="{C040C910-A09A-424C-A268-633EC39D878B}" name="STK/PCS/KG" dataDxfId="139"/>
    <tableColumn id="6" xr3:uid="{FC00868C-BA85-4D26-B9BD-F22CC0A9C6B5}" name="QTY IN CRT" dataDxfId="138"/>
    <tableColumn id="7" xr3:uid="{789FA594-1553-4679-BFCE-CCC5635C6602}" name="NOK" dataDxfId="137"/>
    <tableColumn id="8" xr3:uid="{F410EA93-97C4-4589-8E75-85A8850F811E}" name="EURO" dataDxfId="136">
      <calculatedColumnFormula>G150*$N$1</calculatedColumnFormula>
    </tableColumn>
    <tableColumn id="9" xr3:uid="{BEC6710B-1F63-4E36-A7C4-9FED1EA8669C}" name="TOT NOK" dataDxfId="135">
      <calculatedColumnFormula>Tabell2[[#This Row],[NOK]]*Tabell2[[#This Row],[QTY]]</calculatedColumnFormula>
    </tableColumn>
    <tableColumn id="10" xr3:uid="{FA9E43A6-3ECE-4271-860F-7594C6F93B9C}" name="TOT EUR" dataDxfId="134">
      <calculatedColumnFormula>Tabell2[[#This Row],[EURO]]*Tabell2[[#This Row],[QTY]]</calculatedColumnFormula>
    </tableColumn>
    <tableColumn id="11" xr3:uid="{779471CB-6015-4497-852A-200E98931C59}" name="V.NR KRAEMER" dataDxfId="1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75B0CE-3562-4934-B103-25CE6AA5861C}" name="Tabell3" displayName="Tabell3" ref="A180:K204" totalsRowShown="0" headerRowDxfId="132" dataDxfId="131">
  <autoFilter ref="A180:K204" xr:uid="{F075B0CE-3562-4934-B103-25CE6AA5861C}"/>
  <sortState xmlns:xlrd2="http://schemas.microsoft.com/office/spreadsheetml/2017/richdata2" ref="A181:K204">
    <sortCondition ref="A180:A204"/>
  </sortState>
  <tableColumns count="11">
    <tableColumn id="4" xr3:uid="{6CC824AA-F198-45EA-98F3-B88D6C7AD7B3}" name="NUMMER" dataDxfId="130"/>
    <tableColumn id="3" xr3:uid="{5A91136E-B8BF-44CD-89F5-DE0C488EF25D}" name="EAN" dataDxfId="129"/>
    <tableColumn id="2" xr3:uid="{831B0861-0FF1-4E54-9DE2-499B75884DAA}" name="ITEM" dataDxfId="128"/>
    <tableColumn id="1" xr3:uid="{CD3E02FF-12BE-49AF-9F54-02147DB500AB}" name="QTY" dataDxfId="127"/>
    <tableColumn id="5" xr3:uid="{A7E6F128-651B-4B30-8CB1-09C83FA570CA}" name="STK/PCS/KG" dataDxfId="126"/>
    <tableColumn id="6" xr3:uid="{213FE3B3-834D-4928-B84D-CC0D77DE3955}" name="QTY IN CRT" dataDxfId="125"/>
    <tableColumn id="7" xr3:uid="{690D9829-7098-4F9B-87A2-52952A606880}" name="NOK" dataDxfId="124"/>
    <tableColumn id="8" xr3:uid="{F22B0108-A5B1-4C4D-AE2F-3CCC990497BF}" name="EURO" dataDxfId="123"/>
    <tableColumn id="9" xr3:uid="{B42A9005-973B-4465-9EDE-C27DF6BFA17C}" name="TOT NOK" dataDxfId="122">
      <calculatedColumnFormula>Tabell3[[#This Row],[NOK]]*Tabell3[[#This Row],[QTY]]</calculatedColumnFormula>
    </tableColumn>
    <tableColumn id="10" xr3:uid="{0D113921-C6C9-409C-A207-441511000E6A}" name="TOT EUR" dataDxfId="121">
      <calculatedColumnFormula>Tabell3[[#This Row],[EURO]]*Tabell3[[#This Row],[QTY]]</calculatedColumnFormula>
    </tableColumn>
    <tableColumn id="11" xr3:uid="{AB00D9D1-CB8D-45B6-91C2-38185143FD18}" name="V.NR KRAEMER" dataDxfId="1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2C1450-20EE-4921-AA99-370C0C4C45C7}" name="Tabell4" displayName="Tabell4" ref="A208:K235" totalsRowShown="0" headerRowDxfId="119" dataDxfId="118">
  <autoFilter ref="A208:K235" xr:uid="{422C1450-20EE-4921-AA99-370C0C4C45C7}"/>
  <sortState xmlns:xlrd2="http://schemas.microsoft.com/office/spreadsheetml/2017/richdata2" ref="A209:D235">
    <sortCondition ref="A208:A235"/>
  </sortState>
  <tableColumns count="11">
    <tableColumn id="4" xr3:uid="{DC0021EA-898F-4056-9B9F-CA2722F83381}" name="NUMMER" dataDxfId="117"/>
    <tableColumn id="3" xr3:uid="{66E29FAA-3D26-40F7-A98A-99220EB02C56}" name="EAN" dataDxfId="116"/>
    <tableColumn id="2" xr3:uid="{FAC95C90-BA9D-4E46-9BC7-75C28877A35C}" name="ITEM" dataDxfId="115"/>
    <tableColumn id="1" xr3:uid="{677F6067-A424-4BE8-8A4A-545F12D32860}" name="QTY" dataDxfId="114"/>
    <tableColumn id="5" xr3:uid="{53E0CE06-641A-444D-923F-248A45A15B36}" name="STK/PCS/KG" dataDxfId="113"/>
    <tableColumn id="6" xr3:uid="{AD3AB2BD-9B8C-46D8-B8F0-EE37CE95748F}" name="QTY IN CRT" dataDxfId="112"/>
    <tableColumn id="7" xr3:uid="{890B2A26-1763-4D54-A7C5-EDB2F0B2FF8E}" name="NOK" dataDxfId="111"/>
    <tableColumn id="8" xr3:uid="{2C99D649-AAF1-41D5-B383-04A248F457DC}" name="EURO" dataDxfId="110">
      <calculatedColumnFormula>G209*$N$1</calculatedColumnFormula>
    </tableColumn>
    <tableColumn id="9" xr3:uid="{8154771F-8CEF-4C4D-AF9C-586FF6404F9E}" name="TOT NOK" dataDxfId="109">
      <calculatedColumnFormula>Tabell4[[#This Row],[NOK]]*Tabell4[[#This Row],[QTY]]</calculatedColumnFormula>
    </tableColumn>
    <tableColumn id="10" xr3:uid="{EB3C365C-9EB5-47CE-8A65-BEF0A89420F2}" name="TOT EUR" dataDxfId="108">
      <calculatedColumnFormula>Tabell4[[#This Row],[EURO]]*Tabell4[[#This Row],[QTY]]</calculatedColumnFormula>
    </tableColumn>
    <tableColumn id="11" xr3:uid="{83DE6599-1D1C-4495-BDDB-A3C0314FAF71}" name="V.NR KRAEMER" dataDxfId="10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F284CB-FC1B-4FB5-AF1A-FFD743280624}" name="Tabell5" displayName="Tabell5" ref="A239:K323" totalsRowShown="0" headerRowDxfId="106" dataDxfId="105">
  <autoFilter ref="A239:K323" xr:uid="{30F284CB-FC1B-4FB5-AF1A-FFD743280624}"/>
  <sortState xmlns:xlrd2="http://schemas.microsoft.com/office/spreadsheetml/2017/richdata2" ref="A240:K323">
    <sortCondition ref="A239:A323"/>
  </sortState>
  <tableColumns count="11">
    <tableColumn id="7" xr3:uid="{3CA06043-356E-44B7-9B10-32B400F98B71}" name="NUMMER" dataDxfId="104"/>
    <tableColumn id="6" xr3:uid="{24FA677C-4766-4FA7-B54F-FEB6DE23F7F9}" name="EAN" dataDxfId="103"/>
    <tableColumn id="2" xr3:uid="{8AFF5348-C22B-47B8-B86E-0A5EC4C692C0}" name="ITEM" dataDxfId="102"/>
    <tableColumn id="1" xr3:uid="{196DCF05-61D3-4CC9-AB20-55C38E0DDA14}" name="QTY" dataDxfId="101"/>
    <tableColumn id="3" xr3:uid="{42FC1D88-4EB5-4DDB-90AD-3EA8C0BA1F54}" name="STK/PCS/KG" dataDxfId="100"/>
    <tableColumn id="4" xr3:uid="{496F9C36-D92F-481C-B408-97A9FF15221C}" name="QTY IN CRT" dataDxfId="99"/>
    <tableColumn id="5" xr3:uid="{476191FE-C18C-4D14-8230-032FE66C702A}" name="NOK" dataDxfId="98"/>
    <tableColumn id="8" xr3:uid="{7FC6D70D-791A-4CE6-A2AB-4A73598F0AEC}" name="EURO" dataDxfId="97">
      <calculatedColumnFormula>G240*$N$1</calculatedColumnFormula>
    </tableColumn>
    <tableColumn id="9" xr3:uid="{6B61BC59-4DBF-4F6D-BA89-86C9452EBD89}" name="TOT NOK" dataDxfId="96">
      <calculatedColumnFormula>Tabell5[[#This Row],[NOK]]*Tabell5[[#This Row],[QTY]]</calculatedColumnFormula>
    </tableColumn>
    <tableColumn id="10" xr3:uid="{AC8430A0-2130-4658-8D06-B0EE8E184CD3}" name="TOT EUR" dataDxfId="95">
      <calculatedColumnFormula>Tabell5[[#This Row],[EURO]]*Tabell5[[#This Row],[QTY]]</calculatedColumnFormula>
    </tableColumn>
    <tableColumn id="11" xr3:uid="{31712210-EBF2-44C5-91B9-18B71F14DFA2}" name="V.NR KRAEMER" dataDxfId="9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43E358-A7DB-44EB-B306-EFCFB6996164}" name="Tabell6" displayName="Tabell6" ref="A327:K392" totalsRowShown="0" headerRowDxfId="93" dataDxfId="92">
  <autoFilter ref="A327:K392" xr:uid="{6343E358-A7DB-44EB-B306-EFCFB6996164}"/>
  <sortState xmlns:xlrd2="http://schemas.microsoft.com/office/spreadsheetml/2017/richdata2" ref="A328:K392">
    <sortCondition ref="A327:A392"/>
  </sortState>
  <tableColumns count="11">
    <tableColumn id="4" xr3:uid="{0735BD30-EAE5-4562-A28C-4A6C6D9FD23E}" name="NUMMER" dataDxfId="91"/>
    <tableColumn id="3" xr3:uid="{3310F567-8091-4EAE-A114-18343FC8F378}" name="EAN" dataDxfId="90"/>
    <tableColumn id="2" xr3:uid="{F4ED01CD-E47C-4CBD-BA73-946400659D79}" name="ITEM" dataDxfId="89"/>
    <tableColumn id="1" xr3:uid="{7A61F30D-9F1D-46AB-86C8-6C82AC9DE4A7}" name="QTY" dataDxfId="88"/>
    <tableColumn id="5" xr3:uid="{DB3D0539-6D30-4F54-9426-613F27034124}" name="STK/PCS/KG" dataDxfId="87"/>
    <tableColumn id="6" xr3:uid="{B8648AB5-AFF5-42C5-809D-97128A185B7C}" name="QTY IN CRT" dataDxfId="86"/>
    <tableColumn id="7" xr3:uid="{45E1237E-E886-4E81-9778-B6CFDAA60E87}" name="NOK" dataDxfId="85"/>
    <tableColumn id="8" xr3:uid="{FC966738-737E-491F-9E5E-EF4CE3F74900}" name="EURO" dataDxfId="84"/>
    <tableColumn id="9" xr3:uid="{1D701690-4504-4059-873B-A6986F61672A}" name="TOT NOK" dataDxfId="83">
      <calculatedColumnFormula>Tabell6[[#This Row],[NOK]]*Tabell6[[#This Row],[QTY]]</calculatedColumnFormula>
    </tableColumn>
    <tableColumn id="10" xr3:uid="{F1BDC9B0-57F6-43E3-B601-EAA05EBE31EB}" name="TOT EUR" dataDxfId="82">
      <calculatedColumnFormula>Tabell6[[#This Row],[EURO]]*Tabell6[[#This Row],[QTY]]</calculatedColumnFormula>
    </tableColumn>
    <tableColumn id="11" xr3:uid="{3984D389-6D58-49C2-AE51-70A91E49F2E3}" name="V.NR KRAEMER" dataDxfId="8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CB2F1C-7782-4EB3-8DD3-60BAFD72709A}" name="Tabell7" displayName="Tabell7" ref="A396:K418" totalsRowShown="0" headerRowDxfId="80" dataDxfId="79">
  <autoFilter ref="A396:K418" xr:uid="{6ECB2F1C-7782-4EB3-8DD3-60BAFD72709A}"/>
  <sortState xmlns:xlrd2="http://schemas.microsoft.com/office/spreadsheetml/2017/richdata2" ref="A397:D418">
    <sortCondition ref="A396:A418"/>
  </sortState>
  <tableColumns count="11">
    <tableColumn id="4" xr3:uid="{7B46DFCC-4BD5-48E0-B6A3-6F5B6FB88AFA}" name="NUMMER" dataDxfId="78"/>
    <tableColumn id="3" xr3:uid="{007F4F1D-6B37-4D99-9FC0-5E04DC8F9684}" name="EAN" dataDxfId="77"/>
    <tableColumn id="2" xr3:uid="{5AB9586A-355F-4171-A15A-734912344AC8}" name="ITEM" dataDxfId="76"/>
    <tableColumn id="1" xr3:uid="{04711D4F-D119-41D2-A866-9EE8FDB80FE7}" name="QTY" dataDxfId="75"/>
    <tableColumn id="5" xr3:uid="{6CA5408A-1F67-4EDC-8BDC-94C33A2772EA}" name="STK/PCS/KG" dataDxfId="74"/>
    <tableColumn id="6" xr3:uid="{60ED1656-CA23-4A2C-933C-0B52CB51E1CC}" name="QTY IN CRT" dataDxfId="73"/>
    <tableColumn id="7" xr3:uid="{9D8C3327-C1AE-4BA1-B930-B692653EE357}" name="NOK" dataDxfId="72"/>
    <tableColumn id="8" xr3:uid="{A4127F61-D4A9-43C6-AA69-A66654ACF9C2}" name="EURO" dataDxfId="71">
      <calculatedColumnFormula>G397*$N$1</calculatedColumnFormula>
    </tableColumn>
    <tableColumn id="9" xr3:uid="{8A2216DB-BA26-485E-AEF2-50E52130AE49}" name="TOT NOK" dataDxfId="70">
      <calculatedColumnFormula>Tabell7[[#This Row],[NOK]]*Tabell7[[#This Row],[QTY]]</calculatedColumnFormula>
    </tableColumn>
    <tableColumn id="10" xr3:uid="{FE44E5BD-A47E-4DC8-9ED8-54DA69EA3288}" name="TOT EUR" dataDxfId="69">
      <calculatedColumnFormula>Tabell7[[#This Row],[EURO]]*Tabell7[[#This Row],[QTY]]</calculatedColumnFormula>
    </tableColumn>
    <tableColumn id="11" xr3:uid="{657707E5-39FF-41B9-AD07-FF1382757639}" name="V.NR SOLINA" dataDxfId="6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8974195-2343-45D6-A53C-E518FE9AE557}" name="Tabell8" displayName="Tabell8" ref="A422:K455" totalsRowShown="0" headerRowDxfId="67" dataDxfId="66">
  <autoFilter ref="A422:K455" xr:uid="{88974195-2343-45D6-A53C-E518FE9AE557}"/>
  <sortState xmlns:xlrd2="http://schemas.microsoft.com/office/spreadsheetml/2017/richdata2" ref="A423:K455">
    <sortCondition ref="A422:A455"/>
  </sortState>
  <tableColumns count="11">
    <tableColumn id="4" xr3:uid="{5024F831-CF37-45CA-AF9C-5CCA5990C383}" name="NUMMER" dataDxfId="65"/>
    <tableColumn id="3" xr3:uid="{DF8FC945-8DCA-4413-9763-95F400B9E443}" name="EAN " dataDxfId="64"/>
    <tableColumn id="2" xr3:uid="{E992DFB5-82B4-4716-B3B1-11CBD70CF360}" name="ITEM" dataDxfId="63"/>
    <tableColumn id="1" xr3:uid="{6168E727-4ACA-420B-93C7-A0D52BBC5D85}" name="QTY" dataDxfId="62"/>
    <tableColumn id="5" xr3:uid="{AAE22AE5-A18E-4462-8A69-CDA2973612F9}" name="STK/PCS/KG" dataDxfId="61"/>
    <tableColumn id="6" xr3:uid="{56301DCB-5C72-44FF-A958-BB1729F0BDAD}" name="QTY IN CRT" dataDxfId="60"/>
    <tableColumn id="7" xr3:uid="{1A8471A6-274F-4FF4-BD1D-CB69EC7BC28E}" name="NOK" dataDxfId="59"/>
    <tableColumn id="8" xr3:uid="{E8F252BE-AE15-48E4-99F7-0D9C351C7FDE}" name="EURO" dataDxfId="58">
      <calculatedColumnFormula>G423*$N$1</calculatedColumnFormula>
    </tableColumn>
    <tableColumn id="9" xr3:uid="{7C0B09F0-F364-4888-99D1-3C21408BC015}" name="TOT NOK" dataDxfId="57">
      <calculatedColumnFormula>Tabell8[[#This Row],[NOK]]*Tabell8[[#This Row],[QTY]]</calculatedColumnFormula>
    </tableColumn>
    <tableColumn id="10" xr3:uid="{A43CBE3C-8EE5-4001-9FEB-32054459B113}" name="TOT EUR" dataDxfId="56">
      <calculatedColumnFormula>Tabell8[[#This Row],[EURO]]*Tabell8[[#This Row],[QTY]]</calculatedColumnFormula>
    </tableColumn>
    <tableColumn id="11" xr3:uid="{8C9EE8F5-12C5-40EB-8FE4-4FB9A37E63F1}" name="V.NR KRAEMER" dataDxfId="5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E95B1F8-B824-4367-BFC4-94E6C857588A}" name="Tabell15" displayName="Tabell15" ref="A16:K58" totalsRowCount="1" headerRowDxfId="54" dataDxfId="53" tableBorderDxfId="52">
  <autoFilter ref="A16:K57" xr:uid="{1E95B1F8-B824-4367-BFC4-94E6C857588A}"/>
  <sortState xmlns:xlrd2="http://schemas.microsoft.com/office/spreadsheetml/2017/richdata2" ref="A17:K57">
    <sortCondition ref="A16:A57"/>
  </sortState>
  <tableColumns count="11">
    <tableColumn id="4" xr3:uid="{B3DA6389-9FEE-4EB7-B730-E9854DC3C079}" name="NUMMER" dataDxfId="51" totalsRowDxfId="50"/>
    <tableColumn id="3" xr3:uid="{CFE679E5-12A7-4846-8550-3C6FE36BEF82}" name="EAN" dataDxfId="49" totalsRowDxfId="48"/>
    <tableColumn id="2" xr3:uid="{42973AB6-1B60-4EE4-B613-7D8C9327B2B3}" name="ITEM" dataDxfId="47" totalsRowDxfId="46"/>
    <tableColumn id="1" xr3:uid="{2FDB1021-2FB8-4EBA-A531-68890AC8B5ED}" name="QTY" dataDxfId="45" totalsRowDxfId="44"/>
    <tableColumn id="9" xr3:uid="{0D75DF2B-15D0-4661-8D6F-E746F8EA75C9}" name="STK/PCS/KG" dataDxfId="43" totalsRowDxfId="42"/>
    <tableColumn id="10" xr3:uid="{9C23093D-A99A-4EB7-865E-88E2AAD4B7A4}" name="QTY IN CRT" dataDxfId="41" totalsRowDxfId="40"/>
    <tableColumn id="11" xr3:uid="{231123D0-421A-4F6A-96B6-0E82C33BF09D}" name="NOK" dataDxfId="39" totalsRowDxfId="38"/>
    <tableColumn id="12" xr3:uid="{A196E4F1-3188-4916-89F2-EC77F2939904}" name="EURO" dataDxfId="37" totalsRowDxfId="36">
      <calculatedColumnFormula>G17*$N$1</calculatedColumnFormula>
    </tableColumn>
    <tableColumn id="13" xr3:uid="{282BED78-3E3C-44F6-9AFC-F73776F191AC}" name="TOT NOK" totalsRowFunction="sum" dataDxfId="35" totalsRowDxfId="34">
      <calculatedColumnFormula>Tabell15[[#This Row],[NOK]]*Tabell15[[#This Row],[QTY]]</calculatedColumnFormula>
    </tableColumn>
    <tableColumn id="14" xr3:uid="{D3FF0E4A-6192-4313-8A79-4E1EC6E92B5C}" name="TOT EUR" totalsRowFunction="sum" dataDxfId="33" totalsRowDxfId="32">
      <calculatedColumnFormula>Tabell15[[#This Row],[EURO]]*Tabell15[[#This Row],[QTY]]</calculatedColumnFormula>
    </tableColumn>
    <tableColumn id="15" xr3:uid="{B094715F-3876-4239-A490-4FF3C51FFF8E}" name="V.NR KRAEMER" dataDxfId="31" totalsRowDxfId="3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E97C532-E8AD-4EBA-A44E-88E49A655F0A}" name="Tabell19" displayName="Tabell19" ref="A61:K145" totalsRowShown="0" headerRowDxfId="29" dataDxfId="28" tableBorderDxfId="27">
  <autoFilter ref="A61:K145" xr:uid="{AE97C532-E8AD-4EBA-A44E-88E49A655F0A}"/>
  <sortState xmlns:xlrd2="http://schemas.microsoft.com/office/spreadsheetml/2017/richdata2" ref="A62:K145">
    <sortCondition ref="A61:A145"/>
  </sortState>
  <tableColumns count="11">
    <tableColumn id="4" xr3:uid="{BC19659D-AC48-456E-BD6E-7B8514755A03}" name="NUMMER" dataDxfId="26"/>
    <tableColumn id="3" xr3:uid="{8B25E298-FB0C-44ED-B313-6A4E887A3830}" name="EAN" dataDxfId="25"/>
    <tableColumn id="2" xr3:uid="{0B66F8C9-B200-49A0-8B91-54A780103AFD}" name="ITEM" dataDxfId="24"/>
    <tableColumn id="1" xr3:uid="{B66EEDA1-ED22-43C4-805A-D752BF54133A}" name="QTY" dataDxfId="23"/>
    <tableColumn id="5" xr3:uid="{46ED18FE-524B-47DE-BE2F-C1BC61E48788}" name="STK/PCS/KG" dataDxfId="22"/>
    <tableColumn id="6" xr3:uid="{ED67DDB6-BBAC-4936-B561-C496538DE590}" name="QTY IN CRT" dataDxfId="21"/>
    <tableColumn id="7" xr3:uid="{41A8C36F-9B40-4510-B5DD-81B3BF663726}" name="NOK" dataDxfId="20"/>
    <tableColumn id="8" xr3:uid="{19169336-E835-42EC-BF9B-9972381054D9}" name="EURO" dataDxfId="19">
      <calculatedColumnFormula>G62*$N$1</calculatedColumnFormula>
    </tableColumn>
    <tableColumn id="9" xr3:uid="{29DD3AD3-CEBF-440E-8AA0-945A4746C362}" name="TOT NOK" dataDxfId="18">
      <calculatedColumnFormula>Tabell19[[#This Row],[NOK]]*Tabell19[[#This Row],[QTY]]</calculatedColumnFormula>
    </tableColumn>
    <tableColumn id="10" xr3:uid="{55A761F3-683F-483D-AADA-06F7D64D950C}" name="TOT EUR" dataDxfId="17">
      <calculatedColumnFormula>Tabell19[[#This Row],[EURO]]*Tabell19[[#This Row],[QTY]]</calculatedColumnFormula>
    </tableColumn>
    <tableColumn id="11" xr3:uid="{E8305003-D932-482B-A623-FE6BC480604C}" name="V.NR KRAEMER" dataDxfId="1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FE62C07-7587-4236-A855-3D4AA1564199}" name="Tabell23" displayName="Tabell23" ref="A459:K492" totalsRowShown="0" headerRowDxfId="15" dataDxfId="13" headerRowBorderDxfId="14" tableBorderDxfId="12" totalsRowBorderDxfId="11">
  <autoFilter ref="A459:K492" xr:uid="{BFE62C07-7587-4236-A855-3D4AA1564199}"/>
  <sortState xmlns:xlrd2="http://schemas.microsoft.com/office/spreadsheetml/2017/richdata2" ref="A460:D492">
    <sortCondition ref="A459:A492"/>
  </sortState>
  <tableColumns count="11">
    <tableColumn id="4" xr3:uid="{D2EEEBD1-D1D5-4E96-BD52-B7C917F49621}" name="NUMMER" dataDxfId="10"/>
    <tableColumn id="3" xr3:uid="{367A74EA-4879-402C-9BF0-357CB8B0AA6B}" name="EAN" dataDxfId="9"/>
    <tableColumn id="2" xr3:uid="{406F1B82-29C5-4630-A56F-389BEBFAC773}" name="ITEM" dataDxfId="8"/>
    <tableColumn id="1" xr3:uid="{C87772D8-4E32-4EE1-BBB9-B19B3A9FA833}" name="QTY" dataDxfId="7"/>
    <tableColumn id="5" xr3:uid="{724DAD2A-407B-459E-B5B9-ADF774002D3B}" name="STK/PCS/KG" dataDxfId="6"/>
    <tableColumn id="6" xr3:uid="{A0D5FDB7-3BA8-4DEB-96FF-3D45191C5543}" name="QTY IN CRT" dataDxfId="5"/>
    <tableColumn id="7" xr3:uid="{AD9275BA-552F-49E0-BBFC-93902F2A0F0B}" name="NOK" dataDxfId="4"/>
    <tableColumn id="8" xr3:uid="{27199582-41E6-4A83-B4CB-A06F65A0580F}" name="EURO" dataDxfId="3">
      <calculatedColumnFormula>G460*$N$1</calculatedColumnFormula>
    </tableColumn>
    <tableColumn id="9" xr3:uid="{8D0999D8-3916-4C6F-8E39-5411B131D286}" name="TOT NOK" dataDxfId="2">
      <calculatedColumnFormula>Tabell23[[#This Row],[NOK]]*Tabell23[[#This Row],[QTY]]</calculatedColumnFormula>
    </tableColumn>
    <tableColumn id="10" xr3:uid="{7AC461E6-1D81-445B-BC57-14E51B8A8393}" name="TOT EUR" dataDxfId="1">
      <calculatedColumnFormula>Tabell23[[#This Row],[EURO]]*Tabell23[[#This Row],[QTY]]</calculatedColumnFormula>
    </tableColumn>
    <tableColumn id="11" xr3:uid="{59760E98-0062-46D8-A2D2-411FE5845F6E}" name="V.NR KRAEM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1C6D-8AC6-494E-84B8-99F069400E95}">
  <sheetPr codeName="Ark1"/>
  <dimension ref="A1:N546"/>
  <sheetViews>
    <sheetView tabSelected="1" zoomScaleNormal="100" workbookViewId="0">
      <pane ySplit="13" topLeftCell="A487" activePane="bottomLeft" state="frozen"/>
      <selection activeCell="A508" sqref="A508:J508"/>
      <selection pane="bottomLeft" activeCell="A458" sqref="A458:J493"/>
    </sheetView>
  </sheetViews>
  <sheetFormatPr baseColWidth="10" defaultColWidth="10.85546875" defaultRowHeight="15" outlineLevelRow="1" x14ac:dyDescent="0.25"/>
  <cols>
    <col min="1" max="1" width="11.140625" style="68" hidden="1" customWidth="1"/>
    <col min="2" max="2" width="14.85546875" style="68" hidden="1" customWidth="1"/>
    <col min="3" max="3" width="73.5703125" style="68" bestFit="1" customWidth="1"/>
    <col min="4" max="5" width="10.85546875" style="68"/>
    <col min="6" max="6" width="17" style="68" bestFit="1" customWidth="1"/>
    <col min="7" max="7" width="14.42578125" style="68" customWidth="1"/>
    <col min="8" max="8" width="12.140625" style="68" customWidth="1"/>
    <col min="9" max="9" width="10.85546875" style="68" customWidth="1"/>
    <col min="10" max="10" width="22" style="68" customWidth="1"/>
    <col min="11" max="11" width="18.28515625" style="68" hidden="1" customWidth="1"/>
    <col min="12" max="14" width="10.85546875" style="68" hidden="1" customWidth="1"/>
    <col min="15" max="16384" width="10.85546875" style="68"/>
  </cols>
  <sheetData>
    <row r="1" spans="1:14" ht="32.25" thickBot="1" x14ac:dyDescent="0.3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M1" s="68" t="s">
        <v>1</v>
      </c>
      <c r="N1" s="68">
        <v>8.5000000000000006E-2</v>
      </c>
    </row>
    <row r="2" spans="1:14" ht="19.5" thickBot="1" x14ac:dyDescent="0.3">
      <c r="A2" s="69"/>
      <c r="B2" s="69"/>
      <c r="C2" s="103" t="s">
        <v>2</v>
      </c>
      <c r="D2" s="70"/>
      <c r="E2" s="204" t="s">
        <v>442</v>
      </c>
      <c r="F2" s="205"/>
      <c r="G2" s="71"/>
      <c r="H2" s="70"/>
      <c r="I2" s="201"/>
      <c r="J2" s="201"/>
    </row>
    <row r="3" spans="1:14" ht="19.5" thickBot="1" x14ac:dyDescent="0.3">
      <c r="A3" s="72"/>
      <c r="B3" s="72"/>
      <c r="C3" s="73"/>
      <c r="D3" s="70"/>
      <c r="E3" s="204" t="s">
        <v>3</v>
      </c>
      <c r="F3" s="205"/>
      <c r="G3" s="74"/>
      <c r="H3" s="70"/>
      <c r="I3" s="201"/>
      <c r="J3" s="201"/>
    </row>
    <row r="4" spans="1:14" ht="19.5" thickBot="1" x14ac:dyDescent="0.3">
      <c r="A4" s="72"/>
      <c r="B4" s="72"/>
      <c r="C4"/>
      <c r="D4"/>
      <c r="E4"/>
      <c r="F4"/>
      <c r="G4"/>
      <c r="H4"/>
      <c r="I4"/>
      <c r="J4"/>
    </row>
    <row r="5" spans="1:14" ht="18.75" x14ac:dyDescent="0.25">
      <c r="A5" s="72"/>
      <c r="B5" s="72"/>
      <c r="C5" s="103" t="s">
        <v>4</v>
      </c>
      <c r="D5"/>
      <c r="E5" s="195" t="s">
        <v>5</v>
      </c>
      <c r="F5" s="196"/>
      <c r="G5" s="197"/>
      <c r="H5"/>
      <c r="I5"/>
      <c r="J5"/>
    </row>
    <row r="6" spans="1:14" ht="19.5" thickBot="1" x14ac:dyDescent="0.3">
      <c r="A6" s="72"/>
      <c r="B6" s="72"/>
      <c r="C6" s="178"/>
      <c r="D6"/>
      <c r="E6" s="198"/>
      <c r="F6" s="199"/>
      <c r="G6" s="200"/>
      <c r="H6"/>
      <c r="I6"/>
      <c r="J6"/>
    </row>
    <row r="7" spans="1:14" ht="19.5" thickBot="1" x14ac:dyDescent="0.3">
      <c r="A7" s="72"/>
      <c r="B7" s="72"/>
      <c r="C7"/>
      <c r="D7"/>
      <c r="E7"/>
      <c r="F7"/>
      <c r="G7"/>
      <c r="H7"/>
      <c r="I7"/>
      <c r="J7"/>
    </row>
    <row r="8" spans="1:14" ht="18.75" x14ac:dyDescent="0.25">
      <c r="A8" s="72"/>
      <c r="B8" s="72"/>
      <c r="C8" s="103" t="s">
        <v>427</v>
      </c>
      <c r="D8" s="70"/>
      <c r="E8" s="193" t="s">
        <v>429</v>
      </c>
      <c r="F8" s="181"/>
      <c r="G8" s="182"/>
      <c r="H8" s="70"/>
      <c r="I8"/>
      <c r="J8"/>
    </row>
    <row r="9" spans="1:14" ht="19.5" thickBot="1" x14ac:dyDescent="0.3">
      <c r="A9" s="72"/>
      <c r="B9" s="72"/>
      <c r="C9" s="178"/>
      <c r="D9" s="70"/>
      <c r="E9" s="206"/>
      <c r="F9" s="207"/>
      <c r="G9" s="208"/>
      <c r="H9" s="70"/>
      <c r="I9" s="201"/>
      <c r="J9" s="201"/>
    </row>
    <row r="10" spans="1:14" ht="19.5" thickBot="1" x14ac:dyDescent="0.3">
      <c r="A10" s="72"/>
      <c r="B10" s="72"/>
      <c r="C10"/>
      <c r="D10" s="70"/>
      <c r="E10" s="201"/>
      <c r="F10" s="201"/>
      <c r="G10" s="201"/>
      <c r="H10" s="70"/>
      <c r="I10" s="201"/>
      <c r="J10" s="201"/>
    </row>
    <row r="11" spans="1:14" ht="19.5" thickBot="1" x14ac:dyDescent="0.35">
      <c r="A11" s="72"/>
      <c r="B11" s="72"/>
      <c r="C11" s="179" t="s">
        <v>428</v>
      </c>
      <c r="D11" s="70"/>
      <c r="E11" s="186" t="s">
        <v>431</v>
      </c>
      <c r="F11" s="184"/>
      <c r="G11" s="185"/>
      <c r="H11" s="70"/>
      <c r="I11"/>
      <c r="J11"/>
    </row>
    <row r="12" spans="1:14" ht="19.5" thickBot="1" x14ac:dyDescent="0.3">
      <c r="A12" s="72"/>
      <c r="B12" s="72"/>
      <c r="C12" s="180"/>
      <c r="D12" s="70"/>
      <c r="E12" s="191"/>
      <c r="F12" s="192"/>
      <c r="G12" s="183"/>
      <c r="H12" s="70"/>
      <c r="I12"/>
      <c r="J12"/>
    </row>
    <row r="13" spans="1:14" ht="30" x14ac:dyDescent="0.25">
      <c r="A13" s="1" t="s">
        <v>6</v>
      </c>
      <c r="B13" s="1" t="s">
        <v>7</v>
      </c>
      <c r="C13" s="2" t="s">
        <v>8</v>
      </c>
      <c r="D13" s="2" t="s">
        <v>9</v>
      </c>
      <c r="E13" s="2" t="s">
        <v>10</v>
      </c>
      <c r="F13" s="3" t="s">
        <v>11</v>
      </c>
      <c r="G13" s="4" t="s">
        <v>12</v>
      </c>
      <c r="H13" s="4" t="s">
        <v>13</v>
      </c>
      <c r="I13" s="209" t="s">
        <v>14</v>
      </c>
      <c r="J13" s="210"/>
    </row>
    <row r="14" spans="1:14" x14ac:dyDescent="0.25">
      <c r="A14" s="75"/>
      <c r="B14" s="75"/>
      <c r="C14" s="75"/>
      <c r="D14" s="76"/>
      <c r="E14" s="77"/>
      <c r="F14" s="77"/>
      <c r="G14" s="77"/>
    </row>
    <row r="15" spans="1:14" ht="18.75" x14ac:dyDescent="0.3">
      <c r="A15" s="211" t="s">
        <v>15</v>
      </c>
      <c r="B15" s="212"/>
      <c r="C15" s="212"/>
      <c r="D15" s="212"/>
      <c r="E15" s="212"/>
      <c r="F15" s="212"/>
      <c r="G15" s="212"/>
      <c r="H15" s="212"/>
      <c r="I15" s="212"/>
      <c r="J15" s="212"/>
    </row>
    <row r="16" spans="1:14" x14ac:dyDescent="0.25">
      <c r="A16" s="78" t="s">
        <v>6</v>
      </c>
      <c r="B16" s="78" t="s">
        <v>7</v>
      </c>
      <c r="C16" s="78" t="s">
        <v>8</v>
      </c>
      <c r="D16" s="79" t="s">
        <v>16</v>
      </c>
      <c r="E16" s="78" t="s">
        <v>10</v>
      </c>
      <c r="F16" s="78" t="s">
        <v>17</v>
      </c>
      <c r="G16" s="78" t="s">
        <v>18</v>
      </c>
      <c r="H16" s="78" t="s">
        <v>19</v>
      </c>
      <c r="I16" s="78" t="s">
        <v>20</v>
      </c>
      <c r="J16" s="78" t="s">
        <v>21</v>
      </c>
      <c r="K16" s="78" t="s">
        <v>22</v>
      </c>
    </row>
    <row r="17" spans="1:13" outlineLevel="1" x14ac:dyDescent="0.25">
      <c r="A17" s="118">
        <v>1</v>
      </c>
      <c r="B17" s="156">
        <v>5299</v>
      </c>
      <c r="C17" s="104" t="s">
        <v>23</v>
      </c>
      <c r="D17" s="80"/>
      <c r="E17" s="105" t="s">
        <v>24</v>
      </c>
      <c r="F17" s="105">
        <v>8</v>
      </c>
      <c r="G17" s="106">
        <v>47.67</v>
      </c>
      <c r="H17" s="106">
        <f t="shared" ref="H17:H51" si="0">G17*$N$1</f>
        <v>4.0519500000000006</v>
      </c>
      <c r="I17" s="107">
        <f>Tabell15[[#This Row],[NOK]]*Tabell15[[#This Row],[QTY]]</f>
        <v>0</v>
      </c>
      <c r="J17" s="107">
        <f>Tabell15[[#This Row],[EURO]]*Tabell15[[#This Row],[QTY]]</f>
        <v>0</v>
      </c>
      <c r="K17" s="141">
        <v>11887227</v>
      </c>
    </row>
    <row r="18" spans="1:13" outlineLevel="1" x14ac:dyDescent="0.25">
      <c r="A18" s="118">
        <v>2</v>
      </c>
      <c r="B18" s="125">
        <v>5712</v>
      </c>
      <c r="C18" s="104" t="s">
        <v>25</v>
      </c>
      <c r="D18" s="81"/>
      <c r="E18" s="108" t="s">
        <v>26</v>
      </c>
      <c r="F18" s="108">
        <v>15</v>
      </c>
      <c r="G18" s="109">
        <v>38.9</v>
      </c>
      <c r="H18" s="110">
        <f t="shared" si="0"/>
        <v>3.3065000000000002</v>
      </c>
      <c r="I18" s="107">
        <f>Tabell15[[#This Row],[NOK]]*Tabell15[[#This Row],[QTY]]</f>
        <v>0</v>
      </c>
      <c r="J18" s="107">
        <f>Tabell15[[#This Row],[EURO]]*Tabell15[[#This Row],[QTY]]</f>
        <v>0</v>
      </c>
      <c r="K18" s="141">
        <v>11000787</v>
      </c>
    </row>
    <row r="19" spans="1:13" outlineLevel="1" x14ac:dyDescent="0.25">
      <c r="A19" s="118">
        <v>3</v>
      </c>
      <c r="B19" s="125">
        <v>2000548400000</v>
      </c>
      <c r="C19" s="104" t="s">
        <v>27</v>
      </c>
      <c r="D19" s="81"/>
      <c r="E19" s="108" t="s">
        <v>24</v>
      </c>
      <c r="F19" s="105">
        <v>7</v>
      </c>
      <c r="G19" s="111">
        <v>45.9</v>
      </c>
      <c r="H19" s="106">
        <f t="shared" si="0"/>
        <v>3.9015</v>
      </c>
      <c r="I19" s="107">
        <f>Tabell15[[#This Row],[NOK]]*Tabell15[[#This Row],[QTY]]</f>
        <v>0</v>
      </c>
      <c r="J19" s="107">
        <f>Tabell15[[#This Row],[EURO]]*Tabell15[[#This Row],[QTY]]</f>
        <v>0</v>
      </c>
      <c r="K19" s="141"/>
    </row>
    <row r="20" spans="1:13" outlineLevel="1" x14ac:dyDescent="0.25">
      <c r="A20" s="118">
        <v>4</v>
      </c>
      <c r="B20" s="125">
        <v>5292</v>
      </c>
      <c r="C20" s="104" t="s">
        <v>28</v>
      </c>
      <c r="D20" s="81"/>
      <c r="E20" s="105" t="s">
        <v>24</v>
      </c>
      <c r="F20" s="105">
        <v>15</v>
      </c>
      <c r="G20" s="111">
        <v>37.9</v>
      </c>
      <c r="H20" s="106">
        <f t="shared" si="0"/>
        <v>3.2215000000000003</v>
      </c>
      <c r="I20" s="107">
        <f>Tabell15[[#This Row],[NOK]]*Tabell15[[#This Row],[QTY]]</f>
        <v>0</v>
      </c>
      <c r="J20" s="107">
        <f>Tabell15[[#This Row],[EURO]]*Tabell15[[#This Row],[QTY]]</f>
        <v>0</v>
      </c>
      <c r="K20" s="141">
        <v>11000789</v>
      </c>
    </row>
    <row r="21" spans="1:13" outlineLevel="1" x14ac:dyDescent="0.25">
      <c r="A21" s="118">
        <v>5</v>
      </c>
      <c r="B21" s="125">
        <v>2000549700000</v>
      </c>
      <c r="C21" s="104" t="s">
        <v>426</v>
      </c>
      <c r="D21" s="81"/>
      <c r="E21" s="108" t="s">
        <v>24</v>
      </c>
      <c r="F21" s="105">
        <v>12</v>
      </c>
      <c r="G21" s="111">
        <v>75.36</v>
      </c>
      <c r="H21" s="106">
        <f t="shared" si="0"/>
        <v>6.4056000000000006</v>
      </c>
      <c r="I21" s="107">
        <f>Tabell15[[#This Row],[NOK]]*Tabell15[[#This Row],[QTY]]</f>
        <v>0</v>
      </c>
      <c r="J21" s="107">
        <f>Tabell15[[#This Row],[EURO]]*Tabell15[[#This Row],[QTY]]</f>
        <v>0</v>
      </c>
      <c r="K21" s="141">
        <v>13787943</v>
      </c>
    </row>
    <row r="22" spans="1:13" outlineLevel="1" x14ac:dyDescent="0.25">
      <c r="A22" s="118">
        <v>6</v>
      </c>
      <c r="B22" s="125">
        <v>5730</v>
      </c>
      <c r="C22" s="104" t="s">
        <v>29</v>
      </c>
      <c r="D22" s="81"/>
      <c r="E22" s="108" t="s">
        <v>26</v>
      </c>
      <c r="F22" s="105">
        <v>18</v>
      </c>
      <c r="G22" s="111">
        <v>30.76</v>
      </c>
      <c r="H22" s="106">
        <f t="shared" si="0"/>
        <v>2.6146000000000003</v>
      </c>
      <c r="I22" s="107">
        <f>Tabell15[[#This Row],[NOK]]*Tabell15[[#This Row],[QTY]]</f>
        <v>0</v>
      </c>
      <c r="J22" s="107">
        <f>Tabell15[[#This Row],[EURO]]*Tabell15[[#This Row],[QTY]]</f>
        <v>0</v>
      </c>
      <c r="K22" s="141">
        <v>13816448</v>
      </c>
    </row>
    <row r="23" spans="1:13" outlineLevel="1" x14ac:dyDescent="0.25">
      <c r="A23" s="118">
        <v>7</v>
      </c>
      <c r="B23" s="125">
        <v>6730</v>
      </c>
      <c r="C23" s="104" t="s">
        <v>30</v>
      </c>
      <c r="D23" s="81"/>
      <c r="E23" s="108" t="s">
        <v>26</v>
      </c>
      <c r="F23" s="105">
        <v>13</v>
      </c>
      <c r="G23" s="111">
        <v>34.9</v>
      </c>
      <c r="H23" s="106">
        <f t="shared" si="0"/>
        <v>2.9664999999999999</v>
      </c>
      <c r="I23" s="107">
        <f>Tabell15[[#This Row],[NOK]]*Tabell15[[#This Row],[QTY]]</f>
        <v>0</v>
      </c>
      <c r="J23" s="107">
        <f>Tabell15[[#This Row],[EURO]]*Tabell15[[#This Row],[QTY]]</f>
        <v>0</v>
      </c>
      <c r="K23" s="141"/>
    </row>
    <row r="24" spans="1:13" outlineLevel="1" x14ac:dyDescent="0.25">
      <c r="A24" s="118">
        <v>8</v>
      </c>
      <c r="B24" s="125">
        <v>2000526900000</v>
      </c>
      <c r="C24" s="104" t="s">
        <v>31</v>
      </c>
      <c r="D24" s="81"/>
      <c r="E24" s="108" t="s">
        <v>24</v>
      </c>
      <c r="F24" s="105">
        <v>8</v>
      </c>
      <c r="G24" s="111">
        <v>46.9</v>
      </c>
      <c r="H24" s="106">
        <f t="shared" si="0"/>
        <v>3.9865000000000004</v>
      </c>
      <c r="I24" s="107">
        <f>Tabell15[[#This Row],[NOK]]*Tabell15[[#This Row],[QTY]]</f>
        <v>0</v>
      </c>
      <c r="J24" s="107">
        <f>Tabell15[[#This Row],[EURO]]*Tabell15[[#This Row],[QTY]]</f>
        <v>0</v>
      </c>
      <c r="K24" s="141">
        <v>12049398</v>
      </c>
    </row>
    <row r="25" spans="1:13" outlineLevel="1" x14ac:dyDescent="0.25">
      <c r="A25" s="118">
        <v>10</v>
      </c>
      <c r="B25" s="125">
        <v>2000534600000</v>
      </c>
      <c r="C25" s="104" t="s">
        <v>32</v>
      </c>
      <c r="D25" s="81"/>
      <c r="E25" s="108" t="s">
        <v>24</v>
      </c>
      <c r="F25" s="105">
        <v>12</v>
      </c>
      <c r="G25" s="111">
        <v>52.29</v>
      </c>
      <c r="H25" s="106">
        <f t="shared" si="0"/>
        <v>4.4446500000000002</v>
      </c>
      <c r="I25" s="107">
        <f>Tabell15[[#This Row],[NOK]]*Tabell15[[#This Row],[QTY]]</f>
        <v>0</v>
      </c>
      <c r="J25" s="107">
        <f>Tabell15[[#This Row],[EURO]]*Tabell15[[#This Row],[QTY]]</f>
        <v>0</v>
      </c>
      <c r="K25" s="141"/>
    </row>
    <row r="26" spans="1:13" outlineLevel="1" x14ac:dyDescent="0.25">
      <c r="A26" s="118">
        <v>11</v>
      </c>
      <c r="B26" s="125">
        <v>2000583800000</v>
      </c>
      <c r="C26" s="104" t="s">
        <v>33</v>
      </c>
      <c r="D26" s="81"/>
      <c r="E26" s="108" t="s">
        <v>24</v>
      </c>
      <c r="F26" s="105">
        <v>6</v>
      </c>
      <c r="G26" s="111">
        <v>72.900000000000006</v>
      </c>
      <c r="H26" s="106">
        <f t="shared" si="0"/>
        <v>6.1965000000000012</v>
      </c>
      <c r="I26" s="107">
        <f>Tabell15[[#This Row],[NOK]]*Tabell15[[#This Row],[QTY]]</f>
        <v>0</v>
      </c>
      <c r="J26" s="107">
        <f>Tabell15[[#This Row],[EURO]]*Tabell15[[#This Row],[QTY]]</f>
        <v>0</v>
      </c>
      <c r="K26" s="141">
        <v>11000862</v>
      </c>
    </row>
    <row r="27" spans="1:13" outlineLevel="1" x14ac:dyDescent="0.25">
      <c r="A27" s="118">
        <v>12</v>
      </c>
      <c r="B27" s="125">
        <v>2000583600000</v>
      </c>
      <c r="C27" s="104" t="s">
        <v>34</v>
      </c>
      <c r="D27" s="81"/>
      <c r="E27" s="108" t="s">
        <v>24</v>
      </c>
      <c r="F27" s="105">
        <v>8</v>
      </c>
      <c r="G27" s="111">
        <v>39.9</v>
      </c>
      <c r="H27" s="106">
        <f t="shared" si="0"/>
        <v>3.3915000000000002</v>
      </c>
      <c r="I27" s="107">
        <f>Tabell15[[#This Row],[NOK]]*Tabell15[[#This Row],[QTY]]</f>
        <v>0</v>
      </c>
      <c r="J27" s="107">
        <f>Tabell15[[#This Row],[EURO]]*Tabell15[[#This Row],[QTY]]</f>
        <v>0</v>
      </c>
      <c r="K27" s="141"/>
    </row>
    <row r="28" spans="1:13" outlineLevel="1" x14ac:dyDescent="0.25">
      <c r="A28" s="118">
        <v>13</v>
      </c>
      <c r="B28" s="125">
        <v>2000534900000</v>
      </c>
      <c r="C28" s="104" t="s">
        <v>35</v>
      </c>
      <c r="D28" s="81"/>
      <c r="E28" s="105" t="s">
        <v>24</v>
      </c>
      <c r="F28" s="105">
        <v>12</v>
      </c>
      <c r="G28" s="111">
        <v>53.9</v>
      </c>
      <c r="H28" s="106">
        <f t="shared" si="0"/>
        <v>4.5815000000000001</v>
      </c>
      <c r="I28" s="107">
        <f>Tabell15[[#This Row],[NOK]]*Tabell15[[#This Row],[QTY]]</f>
        <v>0</v>
      </c>
      <c r="J28" s="107">
        <f>Tabell15[[#This Row],[EURO]]*Tabell15[[#This Row],[QTY]]</f>
        <v>0</v>
      </c>
      <c r="K28" s="141">
        <v>12395911</v>
      </c>
    </row>
    <row r="29" spans="1:13" outlineLevel="1" x14ac:dyDescent="0.25">
      <c r="A29" s="118">
        <v>14</v>
      </c>
      <c r="B29" s="125">
        <v>2000582000000</v>
      </c>
      <c r="C29" s="104" t="s">
        <v>36</v>
      </c>
      <c r="D29" s="81"/>
      <c r="E29" s="105" t="s">
        <v>24</v>
      </c>
      <c r="F29" s="105">
        <v>11</v>
      </c>
      <c r="G29" s="111">
        <v>84.59</v>
      </c>
      <c r="H29" s="106">
        <f t="shared" si="0"/>
        <v>7.1901500000000009</v>
      </c>
      <c r="I29" s="107">
        <f>Tabell15[[#This Row],[NOK]]*Tabell15[[#This Row],[QTY]]</f>
        <v>0</v>
      </c>
      <c r="J29" s="107">
        <f>Tabell15[[#This Row],[EURO]]*Tabell15[[#This Row],[QTY]]</f>
        <v>0</v>
      </c>
      <c r="K29" s="141">
        <v>11000864</v>
      </c>
    </row>
    <row r="30" spans="1:13" outlineLevel="1" x14ac:dyDescent="0.25">
      <c r="A30" s="118">
        <v>15</v>
      </c>
      <c r="B30" s="125">
        <v>5706779036923</v>
      </c>
      <c r="C30" s="104" t="s">
        <v>37</v>
      </c>
      <c r="D30" s="81"/>
      <c r="E30" s="108" t="s">
        <v>24</v>
      </c>
      <c r="F30" s="105">
        <v>12</v>
      </c>
      <c r="G30" s="111">
        <v>51.9</v>
      </c>
      <c r="H30" s="106">
        <f t="shared" si="0"/>
        <v>4.4115000000000002</v>
      </c>
      <c r="I30" s="107">
        <f>Tabell15[[#This Row],[NOK]]*Tabell15[[#This Row],[QTY]]</f>
        <v>0</v>
      </c>
      <c r="J30" s="107">
        <f>Tabell15[[#This Row],[EURO]]*Tabell15[[#This Row],[QTY]]</f>
        <v>0</v>
      </c>
      <c r="K30" s="141"/>
      <c r="M30" s="68" t="s">
        <v>38</v>
      </c>
    </row>
    <row r="31" spans="1:13" outlineLevel="1" x14ac:dyDescent="0.25">
      <c r="A31" s="118">
        <v>16</v>
      </c>
      <c r="B31" s="125">
        <v>2000511000000</v>
      </c>
      <c r="C31" s="104" t="s">
        <v>39</v>
      </c>
      <c r="D31" s="81"/>
      <c r="E31" s="108" t="s">
        <v>24</v>
      </c>
      <c r="F31" s="105">
        <v>10</v>
      </c>
      <c r="G31" s="111">
        <v>53.83</v>
      </c>
      <c r="H31" s="106">
        <f t="shared" si="0"/>
        <v>4.5755499999999998</v>
      </c>
      <c r="I31" s="107">
        <f>Tabell15[[#This Row],[NOK]]*Tabell15[[#This Row],[QTY]]</f>
        <v>0</v>
      </c>
      <c r="J31" s="107">
        <f>Tabell15[[#This Row],[EURO]]*Tabell15[[#This Row],[QTY]]</f>
        <v>0</v>
      </c>
      <c r="K31" s="141">
        <v>12052214</v>
      </c>
    </row>
    <row r="32" spans="1:13" outlineLevel="1" x14ac:dyDescent="0.25">
      <c r="A32" s="118">
        <v>17</v>
      </c>
      <c r="B32" s="125">
        <v>2000574500000</v>
      </c>
      <c r="C32" s="104" t="s">
        <v>40</v>
      </c>
      <c r="D32" s="81"/>
      <c r="E32" s="108" t="s">
        <v>24</v>
      </c>
      <c r="F32" s="105">
        <v>10</v>
      </c>
      <c r="G32" s="111">
        <v>53.83</v>
      </c>
      <c r="H32" s="106">
        <f t="shared" si="0"/>
        <v>4.5755499999999998</v>
      </c>
      <c r="I32" s="107">
        <f>Tabell15[[#This Row],[NOK]]*Tabell15[[#This Row],[QTY]]</f>
        <v>0</v>
      </c>
      <c r="J32" s="107">
        <f>Tabell15[[#This Row],[EURO]]*Tabell15[[#This Row],[QTY]]</f>
        <v>0</v>
      </c>
      <c r="K32" s="141">
        <v>12220609</v>
      </c>
    </row>
    <row r="33" spans="1:11" outlineLevel="1" x14ac:dyDescent="0.25">
      <c r="A33" s="118">
        <v>18</v>
      </c>
      <c r="B33" s="125">
        <v>2000525800000</v>
      </c>
      <c r="C33" s="104" t="s">
        <v>41</v>
      </c>
      <c r="D33" s="81"/>
      <c r="E33" s="108" t="s">
        <v>24</v>
      </c>
      <c r="F33" s="105">
        <v>11</v>
      </c>
      <c r="G33" s="111">
        <v>59.9</v>
      </c>
      <c r="H33" s="106">
        <f t="shared" si="0"/>
        <v>5.0914999999999999</v>
      </c>
      <c r="I33" s="107">
        <f>Tabell15[[#This Row],[NOK]]*Tabell15[[#This Row],[QTY]]</f>
        <v>0</v>
      </c>
      <c r="J33" s="107">
        <f>Tabell15[[#This Row],[EURO]]*Tabell15[[#This Row],[QTY]]</f>
        <v>0</v>
      </c>
      <c r="K33" s="141"/>
    </row>
    <row r="34" spans="1:11" outlineLevel="1" x14ac:dyDescent="0.25">
      <c r="A34" s="118">
        <v>19</v>
      </c>
      <c r="B34" s="125">
        <v>5762</v>
      </c>
      <c r="C34" s="104" t="s">
        <v>42</v>
      </c>
      <c r="D34" s="81"/>
      <c r="E34" s="108" t="s">
        <v>26</v>
      </c>
      <c r="F34" s="105">
        <v>12</v>
      </c>
      <c r="G34" s="111">
        <v>33.9</v>
      </c>
      <c r="H34" s="106">
        <f t="shared" si="0"/>
        <v>2.8815</v>
      </c>
      <c r="I34" s="107">
        <f>Tabell15[[#This Row],[NOK]]*Tabell15[[#This Row],[QTY]]</f>
        <v>0</v>
      </c>
      <c r="J34" s="107">
        <f>Tabell15[[#This Row],[EURO]]*Tabell15[[#This Row],[QTY]]</f>
        <v>0</v>
      </c>
      <c r="K34" s="141">
        <v>11000904</v>
      </c>
    </row>
    <row r="35" spans="1:11" outlineLevel="1" x14ac:dyDescent="0.25">
      <c r="A35" s="118">
        <v>20</v>
      </c>
      <c r="B35" s="125">
        <v>5766</v>
      </c>
      <c r="C35" s="104" t="s">
        <v>43</v>
      </c>
      <c r="D35" s="81"/>
      <c r="E35" s="108" t="s">
        <v>26</v>
      </c>
      <c r="F35" s="105">
        <v>14</v>
      </c>
      <c r="G35" s="111">
        <v>39.9</v>
      </c>
      <c r="H35" s="106">
        <f t="shared" si="0"/>
        <v>3.3915000000000002</v>
      </c>
      <c r="I35" s="107">
        <f>Tabell15[[#This Row],[NOK]]*Tabell15[[#This Row],[QTY]]</f>
        <v>0</v>
      </c>
      <c r="J35" s="107">
        <f>Tabell15[[#This Row],[EURO]]*Tabell15[[#This Row],[QTY]]</f>
        <v>0</v>
      </c>
      <c r="K35" s="141">
        <v>11000906</v>
      </c>
    </row>
    <row r="36" spans="1:11" outlineLevel="1" x14ac:dyDescent="0.25">
      <c r="A36" s="118">
        <v>21</v>
      </c>
      <c r="B36" s="125">
        <v>5764</v>
      </c>
      <c r="C36" s="104" t="s">
        <v>44</v>
      </c>
      <c r="D36" s="81"/>
      <c r="E36" s="108" t="s">
        <v>26</v>
      </c>
      <c r="F36" s="105">
        <v>13</v>
      </c>
      <c r="G36" s="111">
        <v>39.9</v>
      </c>
      <c r="H36" s="106">
        <f t="shared" si="0"/>
        <v>3.3915000000000002</v>
      </c>
      <c r="I36" s="107">
        <f>Tabell15[[#This Row],[NOK]]*Tabell15[[#This Row],[QTY]]</f>
        <v>0</v>
      </c>
      <c r="J36" s="107">
        <f>Tabell15[[#This Row],[EURO]]*Tabell15[[#This Row],[QTY]]</f>
        <v>0</v>
      </c>
      <c r="K36" s="141"/>
    </row>
    <row r="37" spans="1:11" outlineLevel="1" x14ac:dyDescent="0.25">
      <c r="A37" s="118">
        <v>22</v>
      </c>
      <c r="B37" s="125">
        <v>2000509700000</v>
      </c>
      <c r="C37" s="104" t="s">
        <v>45</v>
      </c>
      <c r="D37" s="81"/>
      <c r="E37" s="108" t="s">
        <v>24</v>
      </c>
      <c r="F37" s="105">
        <v>10</v>
      </c>
      <c r="G37" s="111">
        <v>44.6</v>
      </c>
      <c r="H37" s="106">
        <f t="shared" si="0"/>
        <v>3.7910000000000004</v>
      </c>
      <c r="I37" s="107">
        <f>Tabell15[[#This Row],[NOK]]*Tabell15[[#This Row],[QTY]]</f>
        <v>0</v>
      </c>
      <c r="J37" s="107">
        <f>Tabell15[[#This Row],[EURO]]*Tabell15[[#This Row],[QTY]]</f>
        <v>0</v>
      </c>
      <c r="K37" s="141"/>
    </row>
    <row r="38" spans="1:11" outlineLevel="1" x14ac:dyDescent="0.25">
      <c r="A38" s="118">
        <v>23</v>
      </c>
      <c r="B38" s="125">
        <v>5984</v>
      </c>
      <c r="C38" s="104" t="s">
        <v>46</v>
      </c>
      <c r="D38" s="81"/>
      <c r="E38" s="108" t="s">
        <v>24</v>
      </c>
      <c r="F38" s="105">
        <v>10</v>
      </c>
      <c r="G38" s="111">
        <v>31.9</v>
      </c>
      <c r="H38" s="106">
        <f t="shared" si="0"/>
        <v>2.7115</v>
      </c>
      <c r="I38" s="107">
        <f>Tabell15[[#This Row],[NOK]]*Tabell15[[#This Row],[QTY]]</f>
        <v>0</v>
      </c>
      <c r="J38" s="107">
        <f>Tabell15[[#This Row],[EURO]]*Tabell15[[#This Row],[QTY]]</f>
        <v>0</v>
      </c>
      <c r="K38" s="141">
        <v>13792960</v>
      </c>
    </row>
    <row r="39" spans="1:11" outlineLevel="1" x14ac:dyDescent="0.25">
      <c r="A39" s="118">
        <v>24</v>
      </c>
      <c r="B39" s="125">
        <v>5725</v>
      </c>
      <c r="C39" s="104" t="s">
        <v>47</v>
      </c>
      <c r="D39" s="81"/>
      <c r="E39" s="108" t="s">
        <v>26</v>
      </c>
      <c r="F39" s="105">
        <v>8</v>
      </c>
      <c r="G39" s="111">
        <v>42.9</v>
      </c>
      <c r="H39" s="106">
        <f t="shared" si="0"/>
        <v>3.6465000000000001</v>
      </c>
      <c r="I39" s="107">
        <f>Tabell15[[#This Row],[NOK]]*Tabell15[[#This Row],[QTY]]</f>
        <v>0</v>
      </c>
      <c r="J39" s="107">
        <f>Tabell15[[#This Row],[EURO]]*Tabell15[[#This Row],[QTY]]</f>
        <v>0</v>
      </c>
      <c r="K39" s="141">
        <v>11001086</v>
      </c>
    </row>
    <row r="40" spans="1:11" outlineLevel="1" x14ac:dyDescent="0.25">
      <c r="A40" s="118">
        <v>25</v>
      </c>
      <c r="B40" s="125">
        <v>5310</v>
      </c>
      <c r="C40" s="104" t="s">
        <v>48</v>
      </c>
      <c r="D40" s="81"/>
      <c r="E40" s="108" t="s">
        <v>24</v>
      </c>
      <c r="F40" s="105">
        <v>46</v>
      </c>
      <c r="G40" s="111">
        <v>8.9</v>
      </c>
      <c r="H40" s="106">
        <f t="shared" si="0"/>
        <v>0.75650000000000006</v>
      </c>
      <c r="I40" s="107">
        <f>Tabell15[[#This Row],[NOK]]*Tabell15[[#This Row],[QTY]]</f>
        <v>0</v>
      </c>
      <c r="J40" s="107">
        <f>Tabell15[[#This Row],[EURO]]*Tabell15[[#This Row],[QTY]]</f>
        <v>0</v>
      </c>
      <c r="K40" s="141">
        <v>11001047</v>
      </c>
    </row>
    <row r="41" spans="1:11" outlineLevel="1" x14ac:dyDescent="0.25">
      <c r="A41" s="118">
        <v>26</v>
      </c>
      <c r="B41" s="125">
        <v>2000568400000</v>
      </c>
      <c r="C41" s="104" t="s">
        <v>49</v>
      </c>
      <c r="D41" s="81"/>
      <c r="E41" s="108" t="s">
        <v>24</v>
      </c>
      <c r="F41" s="105">
        <v>12</v>
      </c>
      <c r="G41" s="111">
        <v>66.13</v>
      </c>
      <c r="H41" s="106">
        <f t="shared" si="0"/>
        <v>5.6210500000000003</v>
      </c>
      <c r="I41" s="107">
        <f>Tabell15[[#This Row],[NOK]]*Tabell15[[#This Row],[QTY]]</f>
        <v>0</v>
      </c>
      <c r="J41" s="107">
        <f>Tabell15[[#This Row],[EURO]]*Tabell15[[#This Row],[QTY]]</f>
        <v>0</v>
      </c>
      <c r="K41" s="141"/>
    </row>
    <row r="42" spans="1:11" outlineLevel="1" x14ac:dyDescent="0.25">
      <c r="A42" s="118">
        <v>27</v>
      </c>
      <c r="B42" s="125">
        <v>5722</v>
      </c>
      <c r="C42" s="104" t="s">
        <v>50</v>
      </c>
      <c r="D42" s="81"/>
      <c r="E42" s="108" t="s">
        <v>26</v>
      </c>
      <c r="F42" s="105">
        <v>12</v>
      </c>
      <c r="G42" s="111">
        <v>53.83</v>
      </c>
      <c r="H42" s="106">
        <f t="shared" si="0"/>
        <v>4.5755499999999998</v>
      </c>
      <c r="I42" s="107">
        <f>Tabell15[[#This Row],[NOK]]*Tabell15[[#This Row],[QTY]]</f>
        <v>0</v>
      </c>
      <c r="J42" s="107">
        <f>Tabell15[[#This Row],[EURO]]*Tabell15[[#This Row],[QTY]]</f>
        <v>0</v>
      </c>
      <c r="K42" s="141">
        <v>11001015</v>
      </c>
    </row>
    <row r="43" spans="1:11" outlineLevel="1" x14ac:dyDescent="0.25">
      <c r="A43" s="118">
        <v>28</v>
      </c>
      <c r="B43" s="125">
        <v>5716</v>
      </c>
      <c r="C43" s="104" t="s">
        <v>51</v>
      </c>
      <c r="D43" s="81"/>
      <c r="E43" s="108" t="s">
        <v>26</v>
      </c>
      <c r="F43" s="105">
        <v>5</v>
      </c>
      <c r="G43" s="111">
        <v>59.9</v>
      </c>
      <c r="H43" s="106">
        <f t="shared" si="0"/>
        <v>5.0914999999999999</v>
      </c>
      <c r="I43" s="107">
        <f>Tabell15[[#This Row],[NOK]]*Tabell15[[#This Row],[QTY]]</f>
        <v>0</v>
      </c>
      <c r="J43" s="107">
        <f>Tabell15[[#This Row],[EURO]]*Tabell15[[#This Row],[QTY]]</f>
        <v>0</v>
      </c>
      <c r="K43" s="141">
        <v>11001089</v>
      </c>
    </row>
    <row r="44" spans="1:11" outlineLevel="1" x14ac:dyDescent="0.25">
      <c r="A44" s="118">
        <v>29</v>
      </c>
      <c r="B44" s="125">
        <v>5474</v>
      </c>
      <c r="C44" s="104" t="s">
        <v>52</v>
      </c>
      <c r="D44" s="81"/>
      <c r="E44" s="105" t="s">
        <v>24</v>
      </c>
      <c r="F44" s="105">
        <v>7</v>
      </c>
      <c r="G44" s="111">
        <v>39.9</v>
      </c>
      <c r="H44" s="106">
        <f t="shared" si="0"/>
        <v>3.3915000000000002</v>
      </c>
      <c r="I44" s="107">
        <f>Tabell15[[#This Row],[NOK]]*Tabell15[[#This Row],[QTY]]</f>
        <v>0</v>
      </c>
      <c r="J44" s="107">
        <f>Tabell15[[#This Row],[EURO]]*Tabell15[[#This Row],[QTY]]</f>
        <v>0</v>
      </c>
      <c r="K44" s="141">
        <v>13792957</v>
      </c>
    </row>
    <row r="45" spans="1:11" outlineLevel="1" x14ac:dyDescent="0.25">
      <c r="A45" s="118">
        <v>30</v>
      </c>
      <c r="B45" s="125">
        <v>2000528400000</v>
      </c>
      <c r="C45" s="104" t="s">
        <v>53</v>
      </c>
      <c r="D45" s="81"/>
      <c r="E45" s="108" t="s">
        <v>24</v>
      </c>
      <c r="F45" s="105">
        <v>30</v>
      </c>
      <c r="G45" s="111">
        <v>113.81</v>
      </c>
      <c r="H45" s="106">
        <f t="shared" si="0"/>
        <v>9.6738500000000016</v>
      </c>
      <c r="I45" s="107">
        <f>Tabell15[[#This Row],[NOK]]*Tabell15[[#This Row],[QTY]]</f>
        <v>0</v>
      </c>
      <c r="J45" s="107">
        <f>Tabell15[[#This Row],[EURO]]*Tabell15[[#This Row],[QTY]]</f>
        <v>0</v>
      </c>
      <c r="K45" s="141"/>
    </row>
    <row r="46" spans="1:11" outlineLevel="1" x14ac:dyDescent="0.25">
      <c r="A46" s="118">
        <v>31</v>
      </c>
      <c r="B46" s="125">
        <v>5325</v>
      </c>
      <c r="C46" s="104" t="s">
        <v>54</v>
      </c>
      <c r="D46" s="81"/>
      <c r="E46" s="108" t="s">
        <v>26</v>
      </c>
      <c r="F46" s="105">
        <v>5</v>
      </c>
      <c r="G46" s="111">
        <v>66.13</v>
      </c>
      <c r="H46" s="106">
        <f t="shared" si="0"/>
        <v>5.6210500000000003</v>
      </c>
      <c r="I46" s="107">
        <f>Tabell15[[#This Row],[NOK]]*Tabell15[[#This Row],[QTY]]</f>
        <v>0</v>
      </c>
      <c r="J46" s="107">
        <f>Tabell15[[#This Row],[EURO]]*Tabell15[[#This Row],[QTY]]</f>
        <v>0</v>
      </c>
      <c r="K46" s="141">
        <v>11000979</v>
      </c>
    </row>
    <row r="47" spans="1:11" outlineLevel="1" x14ac:dyDescent="0.25">
      <c r="A47" s="118">
        <v>32</v>
      </c>
      <c r="B47" s="125">
        <v>5302</v>
      </c>
      <c r="C47" s="104" t="s">
        <v>55</v>
      </c>
      <c r="D47" s="81"/>
      <c r="E47" s="108" t="s">
        <v>26</v>
      </c>
      <c r="F47" s="105">
        <v>11</v>
      </c>
      <c r="G47" s="111">
        <v>51.29</v>
      </c>
      <c r="H47" s="106">
        <f t="shared" si="0"/>
        <v>4.3596500000000002</v>
      </c>
      <c r="I47" s="107">
        <f>Tabell15[[#This Row],[NOK]]*Tabell15[[#This Row],[QTY]]</f>
        <v>0</v>
      </c>
      <c r="J47" s="107">
        <f>Tabell15[[#This Row],[EURO]]*Tabell15[[#This Row],[QTY]]</f>
        <v>0</v>
      </c>
      <c r="K47" s="141">
        <v>11000980</v>
      </c>
    </row>
    <row r="48" spans="1:11" outlineLevel="1" x14ac:dyDescent="0.25">
      <c r="A48" s="118">
        <v>33</v>
      </c>
      <c r="B48" s="125">
        <v>5322</v>
      </c>
      <c r="C48" s="104" t="s">
        <v>56</v>
      </c>
      <c r="D48" s="81"/>
      <c r="E48" s="105" t="s">
        <v>26</v>
      </c>
      <c r="F48" s="105">
        <v>11</v>
      </c>
      <c r="G48" s="111">
        <v>41.9</v>
      </c>
      <c r="H48" s="106">
        <f t="shared" si="0"/>
        <v>3.5615000000000001</v>
      </c>
      <c r="I48" s="107">
        <f>Tabell15[[#This Row],[NOK]]*Tabell15[[#This Row],[QTY]]</f>
        <v>0</v>
      </c>
      <c r="J48" s="107">
        <f>Tabell15[[#This Row],[EURO]]*Tabell15[[#This Row],[QTY]]</f>
        <v>0</v>
      </c>
      <c r="K48" s="141">
        <v>11887393</v>
      </c>
    </row>
    <row r="49" spans="1:11" outlineLevel="1" x14ac:dyDescent="0.25">
      <c r="A49" s="118">
        <v>34</v>
      </c>
      <c r="B49" s="125">
        <v>5734</v>
      </c>
      <c r="C49" s="104" t="s">
        <v>57</v>
      </c>
      <c r="D49" s="81"/>
      <c r="E49" s="108" t="s">
        <v>26</v>
      </c>
      <c r="F49" s="105">
        <v>17</v>
      </c>
      <c r="G49" s="111">
        <v>49.21</v>
      </c>
      <c r="H49" s="106">
        <f t="shared" si="0"/>
        <v>4.1828500000000002</v>
      </c>
      <c r="I49" s="107">
        <f>Tabell15[[#This Row],[NOK]]*Tabell15[[#This Row],[QTY]]</f>
        <v>0</v>
      </c>
      <c r="J49" s="107">
        <f>Tabell15[[#This Row],[EURO]]*Tabell15[[#This Row],[QTY]]</f>
        <v>0</v>
      </c>
      <c r="K49" s="141">
        <v>11000977</v>
      </c>
    </row>
    <row r="50" spans="1:11" outlineLevel="1" x14ac:dyDescent="0.25">
      <c r="A50" s="118">
        <v>36</v>
      </c>
      <c r="B50" s="125">
        <v>2000515600000</v>
      </c>
      <c r="C50" s="104" t="s">
        <v>58</v>
      </c>
      <c r="D50" s="81"/>
      <c r="E50" s="108" t="s">
        <v>24</v>
      </c>
      <c r="F50" s="105">
        <v>10</v>
      </c>
      <c r="G50" s="111">
        <v>35.369999999999997</v>
      </c>
      <c r="H50" s="106">
        <f t="shared" si="0"/>
        <v>3.0064500000000001</v>
      </c>
      <c r="I50" s="107">
        <f>Tabell15[[#This Row],[NOK]]*Tabell15[[#This Row],[QTY]]</f>
        <v>0</v>
      </c>
      <c r="J50" s="107">
        <f>Tabell15[[#This Row],[EURO]]*Tabell15[[#This Row],[QTY]]</f>
        <v>0</v>
      </c>
      <c r="K50" s="141">
        <v>11000889</v>
      </c>
    </row>
    <row r="51" spans="1:11" outlineLevel="1" x14ac:dyDescent="0.25">
      <c r="A51" s="118">
        <v>37</v>
      </c>
      <c r="B51" s="125">
        <v>5782</v>
      </c>
      <c r="C51" s="104" t="s">
        <v>59</v>
      </c>
      <c r="D51" s="81"/>
      <c r="E51" s="108" t="s">
        <v>26</v>
      </c>
      <c r="F51" s="105">
        <v>13</v>
      </c>
      <c r="G51" s="111">
        <v>42.9</v>
      </c>
      <c r="H51" s="106">
        <f t="shared" si="0"/>
        <v>3.6465000000000001</v>
      </c>
      <c r="I51" s="107">
        <f>Tabell15[[#This Row],[NOK]]*Tabell15[[#This Row],[QTY]]</f>
        <v>0</v>
      </c>
      <c r="J51" s="107">
        <f>Tabell15[[#This Row],[EURO]]*Tabell15[[#This Row],[QTY]]</f>
        <v>0</v>
      </c>
      <c r="K51" s="141">
        <v>11000996</v>
      </c>
    </row>
    <row r="52" spans="1:11" outlineLevel="1" x14ac:dyDescent="0.25">
      <c r="A52" s="118">
        <v>38</v>
      </c>
      <c r="B52" s="125">
        <v>5714</v>
      </c>
      <c r="C52" s="104" t="s">
        <v>60</v>
      </c>
      <c r="D52" s="81"/>
      <c r="E52" s="105" t="s">
        <v>26</v>
      </c>
      <c r="F52" s="113">
        <v>8</v>
      </c>
      <c r="G52" s="114">
        <v>42.9</v>
      </c>
      <c r="H52" s="115">
        <f t="shared" ref="H52" si="1">G52*$N$1</f>
        <v>3.6465000000000001</v>
      </c>
      <c r="I52" s="116">
        <f>Tabell15[[#This Row],[NOK]]*Tabell15[[#This Row],[QTY]]</f>
        <v>0</v>
      </c>
      <c r="J52" s="107">
        <f>Tabell15[[#This Row],[EURO]]*Tabell15[[#This Row],[QTY]]</f>
        <v>0</v>
      </c>
      <c r="K52" s="141">
        <v>11001087</v>
      </c>
    </row>
    <row r="53" spans="1:11" hidden="1" outlineLevel="1" x14ac:dyDescent="0.25">
      <c r="A53" s="118">
        <v>39</v>
      </c>
      <c r="B53" s="173"/>
      <c r="C53" s="172" t="s">
        <v>61</v>
      </c>
      <c r="D53" s="81"/>
      <c r="E53" s="108"/>
      <c r="F53" s="105"/>
      <c r="G53" s="111"/>
      <c r="H53" s="106">
        <f>G53*$N$1</f>
        <v>0</v>
      </c>
      <c r="I53" s="107">
        <f>Tabell15[[#This Row],[NOK]]*Tabell15[[#This Row],[QTY]]</f>
        <v>0</v>
      </c>
      <c r="J53" s="107">
        <f>Tabell15[[#This Row],[EURO]]*Tabell15[[#This Row],[QTY]]</f>
        <v>0</v>
      </c>
      <c r="K53" s="141"/>
    </row>
    <row r="54" spans="1:11" hidden="1" outlineLevel="1" x14ac:dyDescent="0.25">
      <c r="A54" s="118">
        <v>40</v>
      </c>
      <c r="B54" s="173"/>
      <c r="C54" s="172" t="s">
        <v>61</v>
      </c>
      <c r="D54" s="81"/>
      <c r="E54" s="108"/>
      <c r="F54" s="105"/>
      <c r="G54" s="111"/>
      <c r="H54" s="106">
        <f>G54*$N$1</f>
        <v>0</v>
      </c>
      <c r="I54" s="107">
        <f>Tabell15[[#This Row],[NOK]]*Tabell15[[#This Row],[QTY]]</f>
        <v>0</v>
      </c>
      <c r="J54" s="107">
        <f>Tabell15[[#This Row],[EURO]]*Tabell15[[#This Row],[QTY]]</f>
        <v>0</v>
      </c>
      <c r="K54" s="141"/>
    </row>
    <row r="55" spans="1:11" hidden="1" outlineLevel="1" x14ac:dyDescent="0.25">
      <c r="A55" s="118">
        <v>41</v>
      </c>
      <c r="B55" s="173"/>
      <c r="C55" s="172" t="s">
        <v>61</v>
      </c>
      <c r="D55" s="81"/>
      <c r="E55" s="108"/>
      <c r="F55" s="105"/>
      <c r="G55" s="111"/>
      <c r="H55" s="106">
        <f>G55*$N$1</f>
        <v>0</v>
      </c>
      <c r="I55" s="107">
        <f>Tabell15[[#This Row],[NOK]]*Tabell15[[#This Row],[QTY]]</f>
        <v>0</v>
      </c>
      <c r="J55" s="107">
        <f>Tabell15[[#This Row],[EURO]]*Tabell15[[#This Row],[QTY]]</f>
        <v>0</v>
      </c>
      <c r="K55" s="141"/>
    </row>
    <row r="56" spans="1:11" hidden="1" outlineLevel="1" x14ac:dyDescent="0.25">
      <c r="A56" s="118">
        <v>42</v>
      </c>
      <c r="B56" s="173"/>
      <c r="C56" s="172" t="s">
        <v>61</v>
      </c>
      <c r="D56" s="81"/>
      <c r="E56" s="108"/>
      <c r="F56" s="105"/>
      <c r="G56" s="111"/>
      <c r="H56" s="106">
        <f>G56*$N$1</f>
        <v>0</v>
      </c>
      <c r="I56" s="107">
        <f>Tabell15[[#This Row],[NOK]]*Tabell15[[#This Row],[QTY]]</f>
        <v>0</v>
      </c>
      <c r="J56" s="107">
        <f>Tabell15[[#This Row],[EURO]]*Tabell15[[#This Row],[QTY]]</f>
        <v>0</v>
      </c>
      <c r="K56" s="141"/>
    </row>
    <row r="57" spans="1:11" hidden="1" outlineLevel="1" x14ac:dyDescent="0.25">
      <c r="A57" s="118">
        <v>43</v>
      </c>
      <c r="B57" s="173"/>
      <c r="C57" s="172" t="s">
        <v>61</v>
      </c>
      <c r="D57" s="81"/>
      <c r="E57" s="112"/>
      <c r="F57" s="113"/>
      <c r="G57" s="114"/>
      <c r="H57" s="106">
        <f>G57*$N$1</f>
        <v>0</v>
      </c>
      <c r="I57" s="107">
        <f>Tabell15[[#This Row],[NOK]]*Tabell15[[#This Row],[QTY]]</f>
        <v>0</v>
      </c>
      <c r="J57" s="107">
        <f>Tabell15[[#This Row],[EURO]]*Tabell15[[#This Row],[QTY]]</f>
        <v>0</v>
      </c>
      <c r="K57" s="141"/>
    </row>
    <row r="58" spans="1:11" hidden="1" x14ac:dyDescent="0.25">
      <c r="A58" s="124"/>
      <c r="B58" s="125"/>
      <c r="C58" s="187"/>
      <c r="D58" s="81"/>
      <c r="E58" s="112"/>
      <c r="F58" s="113"/>
      <c r="G58" s="114"/>
      <c r="H58" s="115"/>
      <c r="I58" s="116">
        <f>SUBTOTAL(109,Tabell15[TOT NOK])</f>
        <v>0</v>
      </c>
      <c r="J58" s="116">
        <f>SUBTOTAL(109,Tabell15[TOT EUR])</f>
        <v>0</v>
      </c>
      <c r="K58" s="146"/>
    </row>
    <row r="59" spans="1:11" x14ac:dyDescent="0.25">
      <c r="B59" s="82"/>
      <c r="C59" s="83"/>
      <c r="D59" s="83"/>
      <c r="E59" s="84"/>
      <c r="F59" s="84"/>
      <c r="G59" s="85"/>
      <c r="H59" s="86"/>
      <c r="I59" s="86">
        <f>SUM(Tabell15[[#Data],[#Totals],[TOT NOK]])</f>
        <v>0</v>
      </c>
      <c r="J59" s="86">
        <f>SUM(J17:J58)</f>
        <v>0</v>
      </c>
    </row>
    <row r="60" spans="1:11" ht="18.75" x14ac:dyDescent="0.3">
      <c r="A60" s="213" t="s">
        <v>62</v>
      </c>
      <c r="B60" s="194"/>
      <c r="C60" s="194"/>
      <c r="D60" s="194"/>
      <c r="E60" s="194"/>
      <c r="F60" s="194"/>
      <c r="G60" s="194"/>
      <c r="H60" s="194"/>
      <c r="I60" s="194"/>
      <c r="J60" s="194"/>
    </row>
    <row r="61" spans="1:11" x14ac:dyDescent="0.25">
      <c r="A61" s="78" t="s">
        <v>6</v>
      </c>
      <c r="B61" s="78" t="s">
        <v>7</v>
      </c>
      <c r="C61" s="78" t="s">
        <v>8</v>
      </c>
      <c r="D61" s="79" t="s">
        <v>16</v>
      </c>
      <c r="E61" s="78" t="s">
        <v>10</v>
      </c>
      <c r="F61" s="78" t="s">
        <v>17</v>
      </c>
      <c r="G61" s="78" t="s">
        <v>18</v>
      </c>
      <c r="H61" s="78" t="s">
        <v>19</v>
      </c>
      <c r="I61" s="78" t="s">
        <v>20</v>
      </c>
      <c r="J61" s="78" t="s">
        <v>21</v>
      </c>
      <c r="K61" s="97" t="s">
        <v>22</v>
      </c>
    </row>
    <row r="62" spans="1:11" outlineLevel="1" x14ac:dyDescent="0.25">
      <c r="A62" s="117">
        <v>1</v>
      </c>
      <c r="B62" s="157">
        <v>2000551600000</v>
      </c>
      <c r="C62" s="104" t="s">
        <v>63</v>
      </c>
      <c r="D62" s="81"/>
      <c r="E62" s="108" t="s">
        <v>24</v>
      </c>
      <c r="F62" s="105">
        <v>14</v>
      </c>
      <c r="G62" s="111">
        <v>24.6</v>
      </c>
      <c r="H62" s="106">
        <f t="shared" ref="H62:H90" si="2">G62*$N$1</f>
        <v>2.0910000000000002</v>
      </c>
      <c r="I62" s="107">
        <f>Tabell19[[#This Row],[NOK]]*Tabell19[[#This Row],[QTY]]</f>
        <v>0</v>
      </c>
      <c r="J62" s="142">
        <f>Tabell19[[#This Row],[EURO]]*Tabell19[[#This Row],[QTY]]</f>
        <v>0</v>
      </c>
      <c r="K62" s="141">
        <v>12247473</v>
      </c>
    </row>
    <row r="63" spans="1:11" outlineLevel="1" x14ac:dyDescent="0.25">
      <c r="A63" s="118">
        <v>2</v>
      </c>
      <c r="B63" s="158">
        <v>2000565300000</v>
      </c>
      <c r="C63" s="104" t="s">
        <v>64</v>
      </c>
      <c r="D63" s="81"/>
      <c r="E63" s="105" t="s">
        <v>24</v>
      </c>
      <c r="F63" s="105">
        <v>10</v>
      </c>
      <c r="G63" s="111">
        <v>69.209999999999994</v>
      </c>
      <c r="H63" s="106">
        <f t="shared" si="2"/>
        <v>5.8828499999999995</v>
      </c>
      <c r="I63" s="107">
        <f>Tabell19[[#This Row],[NOK]]*Tabell19[[#This Row],[QTY]]</f>
        <v>0</v>
      </c>
      <c r="J63" s="142">
        <f>Tabell19[[#This Row],[EURO]]*Tabell19[[#This Row],[QTY]]</f>
        <v>0</v>
      </c>
      <c r="K63" s="141">
        <v>12049391</v>
      </c>
    </row>
    <row r="64" spans="1:11" outlineLevel="1" x14ac:dyDescent="0.25">
      <c r="A64" s="118">
        <v>4</v>
      </c>
      <c r="B64" s="158">
        <v>2000551900000</v>
      </c>
      <c r="C64" s="104" t="s">
        <v>65</v>
      </c>
      <c r="D64" s="81"/>
      <c r="E64" s="105" t="s">
        <v>24</v>
      </c>
      <c r="F64" s="105">
        <v>10</v>
      </c>
      <c r="G64" s="111">
        <v>27.9</v>
      </c>
      <c r="H64" s="106">
        <f t="shared" si="2"/>
        <v>2.3715000000000002</v>
      </c>
      <c r="I64" s="107">
        <f>Tabell19[[#This Row],[NOK]]*Tabell19[[#This Row],[QTY]]</f>
        <v>0</v>
      </c>
      <c r="J64" s="142">
        <f>Tabell19[[#This Row],[EURO]]*Tabell19[[#This Row],[QTY]]</f>
        <v>0</v>
      </c>
      <c r="K64" s="141">
        <v>11001058</v>
      </c>
    </row>
    <row r="65" spans="1:11" outlineLevel="1" x14ac:dyDescent="0.25">
      <c r="A65" s="117">
        <v>5</v>
      </c>
      <c r="B65" s="158">
        <v>2000604900000</v>
      </c>
      <c r="C65" s="104" t="s">
        <v>66</v>
      </c>
      <c r="D65" s="81"/>
      <c r="E65" s="108" t="s">
        <v>24</v>
      </c>
      <c r="F65" s="105">
        <v>8</v>
      </c>
      <c r="G65" s="111">
        <v>73.900000000000006</v>
      </c>
      <c r="H65" s="106">
        <f t="shared" si="2"/>
        <v>6.2815000000000012</v>
      </c>
      <c r="I65" s="107">
        <f>Tabell19[[#This Row],[NOK]]*Tabell19[[#This Row],[QTY]]</f>
        <v>0</v>
      </c>
      <c r="J65" s="142">
        <f>Tabell19[[#This Row],[EURO]]*Tabell19[[#This Row],[QTY]]</f>
        <v>0</v>
      </c>
      <c r="K65" s="141"/>
    </row>
    <row r="66" spans="1:11" outlineLevel="1" x14ac:dyDescent="0.25">
      <c r="A66" s="118">
        <v>6</v>
      </c>
      <c r="B66" s="158">
        <v>5508</v>
      </c>
      <c r="C66" s="104" t="s">
        <v>67</v>
      </c>
      <c r="D66" s="81"/>
      <c r="E66" s="105" t="s">
        <v>24</v>
      </c>
      <c r="F66" s="105">
        <v>10</v>
      </c>
      <c r="G66" s="111">
        <v>44.6</v>
      </c>
      <c r="H66" s="106">
        <f t="shared" si="2"/>
        <v>3.7910000000000004</v>
      </c>
      <c r="I66" s="107">
        <f>Tabell19[[#This Row],[NOK]]*Tabell19[[#This Row],[QTY]]</f>
        <v>0</v>
      </c>
      <c r="J66" s="142">
        <f>Tabell19[[#This Row],[EURO]]*Tabell19[[#This Row],[QTY]]</f>
        <v>0</v>
      </c>
      <c r="K66" s="141">
        <v>11000859</v>
      </c>
    </row>
    <row r="67" spans="1:11" outlineLevel="1" x14ac:dyDescent="0.25">
      <c r="A67" s="117">
        <v>7</v>
      </c>
      <c r="B67" s="158">
        <v>2000551200000</v>
      </c>
      <c r="C67" s="104" t="s">
        <v>68</v>
      </c>
      <c r="D67" s="81"/>
      <c r="E67" s="105" t="s">
        <v>24</v>
      </c>
      <c r="F67" s="105">
        <v>13</v>
      </c>
      <c r="G67" s="111">
        <v>31.9</v>
      </c>
      <c r="H67" s="106">
        <f t="shared" si="2"/>
        <v>2.7115</v>
      </c>
      <c r="I67" s="107">
        <f>Tabell19[[#This Row],[NOK]]*Tabell19[[#This Row],[QTY]]</f>
        <v>0</v>
      </c>
      <c r="J67" s="142">
        <f>Tabell19[[#This Row],[EURO]]*Tabell19[[#This Row],[QTY]]</f>
        <v>0</v>
      </c>
      <c r="K67" s="141">
        <v>13800260</v>
      </c>
    </row>
    <row r="68" spans="1:11" outlineLevel="1" x14ac:dyDescent="0.25">
      <c r="A68" s="118">
        <v>8</v>
      </c>
      <c r="B68" s="158">
        <v>200551300004</v>
      </c>
      <c r="C68" s="104" t="s">
        <v>69</v>
      </c>
      <c r="D68" s="81"/>
      <c r="E68" s="108" t="s">
        <v>24</v>
      </c>
      <c r="F68" s="105">
        <v>8</v>
      </c>
      <c r="G68" s="111">
        <v>41.9</v>
      </c>
      <c r="H68" s="106">
        <f t="shared" si="2"/>
        <v>3.5615000000000001</v>
      </c>
      <c r="I68" s="107">
        <f>Tabell19[[#This Row],[NOK]]*Tabell19[[#This Row],[QTY]]</f>
        <v>0</v>
      </c>
      <c r="J68" s="142">
        <f>Tabell19[[#This Row],[EURO]]*Tabell19[[#This Row],[QTY]]</f>
        <v>0</v>
      </c>
      <c r="K68" s="141">
        <v>12220556</v>
      </c>
    </row>
    <row r="69" spans="1:11" outlineLevel="1" x14ac:dyDescent="0.25">
      <c r="A69" s="117">
        <v>9</v>
      </c>
      <c r="B69" s="158">
        <v>2000538900000</v>
      </c>
      <c r="C69" s="104" t="s">
        <v>70</v>
      </c>
      <c r="D69" s="81"/>
      <c r="E69" s="108" t="s">
        <v>24</v>
      </c>
      <c r="F69" s="105">
        <v>4</v>
      </c>
      <c r="G69" s="111">
        <v>51.9</v>
      </c>
      <c r="H69" s="106">
        <f t="shared" si="2"/>
        <v>4.4115000000000002</v>
      </c>
      <c r="I69" s="107">
        <f>Tabell19[[#This Row],[NOK]]*Tabell19[[#This Row],[QTY]]</f>
        <v>0</v>
      </c>
      <c r="J69" s="142">
        <f>Tabell19[[#This Row],[EURO]]*Tabell19[[#This Row],[QTY]]</f>
        <v>0</v>
      </c>
      <c r="K69" s="141">
        <v>11001082</v>
      </c>
    </row>
    <row r="70" spans="1:11" outlineLevel="1" x14ac:dyDescent="0.25">
      <c r="A70" s="118">
        <v>10</v>
      </c>
      <c r="B70" s="158">
        <v>2000513400000</v>
      </c>
      <c r="C70" s="104" t="s">
        <v>71</v>
      </c>
      <c r="D70" s="81"/>
      <c r="E70" s="108" t="s">
        <v>24</v>
      </c>
      <c r="F70" s="105">
        <v>10</v>
      </c>
      <c r="G70" s="111">
        <v>10.76</v>
      </c>
      <c r="H70" s="106">
        <f t="shared" si="2"/>
        <v>0.91460000000000008</v>
      </c>
      <c r="I70" s="107">
        <f>Tabell19[[#This Row],[NOK]]*Tabell19[[#This Row],[QTY]]</f>
        <v>0</v>
      </c>
      <c r="J70" s="142">
        <f>Tabell19[[#This Row],[EURO]]*Tabell19[[#This Row],[QTY]]</f>
        <v>0</v>
      </c>
      <c r="K70" s="141"/>
    </row>
    <row r="71" spans="1:11" outlineLevel="1" x14ac:dyDescent="0.25">
      <c r="A71" s="117">
        <v>11</v>
      </c>
      <c r="B71" s="158">
        <v>2000513500000</v>
      </c>
      <c r="C71" s="104" t="s">
        <v>72</v>
      </c>
      <c r="D71" s="81"/>
      <c r="E71" s="108" t="s">
        <v>24</v>
      </c>
      <c r="F71" s="105">
        <v>10</v>
      </c>
      <c r="G71" s="111">
        <v>10.76</v>
      </c>
      <c r="H71" s="106">
        <f t="shared" si="2"/>
        <v>0.91460000000000008</v>
      </c>
      <c r="I71" s="107">
        <f>Tabell19[[#This Row],[NOK]]*Tabell19[[#This Row],[QTY]]</f>
        <v>0</v>
      </c>
      <c r="J71" s="142">
        <f>Tabell19[[#This Row],[EURO]]*Tabell19[[#This Row],[QTY]]</f>
        <v>0</v>
      </c>
      <c r="K71" s="141">
        <v>11000893</v>
      </c>
    </row>
    <row r="72" spans="1:11" outlineLevel="1" x14ac:dyDescent="0.25">
      <c r="A72" s="118">
        <v>12</v>
      </c>
      <c r="B72" s="158">
        <v>2000506300000</v>
      </c>
      <c r="C72" s="104" t="s">
        <v>73</v>
      </c>
      <c r="D72" s="81"/>
      <c r="E72" s="108" t="s">
        <v>24</v>
      </c>
      <c r="F72" s="105">
        <v>10</v>
      </c>
      <c r="G72" s="111">
        <v>16.91</v>
      </c>
      <c r="H72" s="106">
        <f t="shared" si="2"/>
        <v>1.4373500000000001</v>
      </c>
      <c r="I72" s="107">
        <f>Tabell19[[#This Row],[NOK]]*Tabell19[[#This Row],[QTY]]</f>
        <v>0</v>
      </c>
      <c r="J72" s="142">
        <f>Tabell19[[#This Row],[EURO]]*Tabell19[[#This Row],[QTY]]</f>
        <v>0</v>
      </c>
      <c r="K72" s="141">
        <v>11000924</v>
      </c>
    </row>
    <row r="73" spans="1:11" outlineLevel="1" x14ac:dyDescent="0.25">
      <c r="A73" s="117">
        <v>13</v>
      </c>
      <c r="B73" s="158">
        <v>2000513700000</v>
      </c>
      <c r="C73" s="104" t="s">
        <v>74</v>
      </c>
      <c r="D73" s="81"/>
      <c r="E73" s="108" t="s">
        <v>24</v>
      </c>
      <c r="F73" s="105">
        <v>10</v>
      </c>
      <c r="G73" s="111">
        <v>22.9</v>
      </c>
      <c r="H73" s="106">
        <f t="shared" si="2"/>
        <v>1.9465000000000001</v>
      </c>
      <c r="I73" s="107">
        <f>Tabell19[[#This Row],[NOK]]*Tabell19[[#This Row],[QTY]]</f>
        <v>0</v>
      </c>
      <c r="J73" s="142">
        <f>Tabell19[[#This Row],[EURO]]*Tabell19[[#This Row],[QTY]]</f>
        <v>0</v>
      </c>
      <c r="K73" s="141">
        <v>12357289</v>
      </c>
    </row>
    <row r="74" spans="1:11" outlineLevel="1" x14ac:dyDescent="0.25">
      <c r="A74" s="118">
        <v>14</v>
      </c>
      <c r="B74" s="158">
        <v>5638</v>
      </c>
      <c r="C74" s="104" t="s">
        <v>75</v>
      </c>
      <c r="D74" s="81"/>
      <c r="E74" s="108" t="s">
        <v>26</v>
      </c>
      <c r="F74" s="105">
        <v>1</v>
      </c>
      <c r="G74" s="111">
        <v>149.9</v>
      </c>
      <c r="H74" s="106">
        <f t="shared" si="2"/>
        <v>12.741500000000002</v>
      </c>
      <c r="I74" s="107">
        <f>Tabell19[[#This Row],[NOK]]*Tabell19[[#This Row],[QTY]]</f>
        <v>0</v>
      </c>
      <c r="J74" s="142">
        <f>Tabell19[[#This Row],[EURO]]*Tabell19[[#This Row],[QTY]]</f>
        <v>0</v>
      </c>
      <c r="K74" s="141">
        <v>11000894</v>
      </c>
    </row>
    <row r="75" spans="1:11" outlineLevel="1" x14ac:dyDescent="0.25">
      <c r="A75" s="117">
        <v>15</v>
      </c>
      <c r="B75" s="158">
        <v>2000517000000</v>
      </c>
      <c r="C75" s="104" t="s">
        <v>76</v>
      </c>
      <c r="D75" s="81"/>
      <c r="E75" s="108" t="s">
        <v>24</v>
      </c>
      <c r="F75" s="105">
        <v>8</v>
      </c>
      <c r="G75" s="111">
        <v>54.9</v>
      </c>
      <c r="H75" s="106">
        <f t="shared" si="2"/>
        <v>4.6665000000000001</v>
      </c>
      <c r="I75" s="107">
        <f>Tabell19[[#This Row],[NOK]]*Tabell19[[#This Row],[QTY]]</f>
        <v>0</v>
      </c>
      <c r="J75" s="142">
        <f>Tabell19[[#This Row],[EURO]]*Tabell19[[#This Row],[QTY]]</f>
        <v>0</v>
      </c>
      <c r="K75" s="141"/>
    </row>
    <row r="76" spans="1:11" outlineLevel="1" x14ac:dyDescent="0.25">
      <c r="A76" s="118">
        <v>16</v>
      </c>
      <c r="B76" s="158">
        <v>2000511400000</v>
      </c>
      <c r="C76" s="104" t="s">
        <v>77</v>
      </c>
      <c r="D76" s="81"/>
      <c r="E76" s="105" t="s">
        <v>24</v>
      </c>
      <c r="F76" s="105">
        <v>10</v>
      </c>
      <c r="G76" s="111">
        <v>32.9</v>
      </c>
      <c r="H76" s="106">
        <f t="shared" si="2"/>
        <v>2.7965</v>
      </c>
      <c r="I76" s="107">
        <f>Tabell19[[#This Row],[NOK]]*Tabell19[[#This Row],[QTY]]</f>
        <v>0</v>
      </c>
      <c r="J76" s="142">
        <f>Tabell19[[#This Row],[EURO]]*Tabell19[[#This Row],[QTY]]</f>
        <v>0</v>
      </c>
      <c r="K76" s="141">
        <v>11000896</v>
      </c>
    </row>
    <row r="77" spans="1:11" outlineLevel="1" x14ac:dyDescent="0.25">
      <c r="A77" s="117">
        <v>17</v>
      </c>
      <c r="B77" s="158">
        <v>5069</v>
      </c>
      <c r="C77" s="104" t="s">
        <v>78</v>
      </c>
      <c r="D77" s="81"/>
      <c r="E77" s="105" t="s">
        <v>26</v>
      </c>
      <c r="F77" s="105">
        <v>10</v>
      </c>
      <c r="G77" s="111">
        <v>34.9</v>
      </c>
      <c r="H77" s="106">
        <f t="shared" si="2"/>
        <v>2.9664999999999999</v>
      </c>
      <c r="I77" s="107">
        <f>Tabell19[[#This Row],[NOK]]*Tabell19[[#This Row],[QTY]]</f>
        <v>0</v>
      </c>
      <c r="J77" s="142">
        <f>Tabell19[[#This Row],[EURO]]*Tabell19[[#This Row],[QTY]]</f>
        <v>0</v>
      </c>
      <c r="K77" s="141">
        <v>13881198</v>
      </c>
    </row>
    <row r="78" spans="1:11" outlineLevel="1" x14ac:dyDescent="0.25">
      <c r="A78" s="118">
        <v>19</v>
      </c>
      <c r="B78" s="158">
        <v>2000559200000</v>
      </c>
      <c r="C78" s="104" t="s">
        <v>79</v>
      </c>
      <c r="D78" s="81"/>
      <c r="E78" s="105" t="s">
        <v>24</v>
      </c>
      <c r="F78" s="105">
        <v>15</v>
      </c>
      <c r="G78" s="111">
        <v>36.9</v>
      </c>
      <c r="H78" s="106">
        <f t="shared" si="2"/>
        <v>3.1365000000000003</v>
      </c>
      <c r="I78" s="107">
        <f>Tabell19[[#This Row],[NOK]]*Tabell19[[#This Row],[QTY]]</f>
        <v>0</v>
      </c>
      <c r="J78" s="142">
        <f>Tabell19[[#This Row],[EURO]]*Tabell19[[#This Row],[QTY]]</f>
        <v>0</v>
      </c>
      <c r="K78" s="141">
        <v>11000961</v>
      </c>
    </row>
    <row r="79" spans="1:11" outlineLevel="1" x14ac:dyDescent="0.25">
      <c r="A79" s="118">
        <v>20</v>
      </c>
      <c r="B79" s="158">
        <v>2000544400000</v>
      </c>
      <c r="C79" s="104" t="s">
        <v>80</v>
      </c>
      <c r="D79" s="81"/>
      <c r="E79" s="108" t="s">
        <v>24</v>
      </c>
      <c r="F79" s="105">
        <v>24</v>
      </c>
      <c r="G79" s="111">
        <v>33.9</v>
      </c>
      <c r="H79" s="106">
        <f t="shared" si="2"/>
        <v>2.8815</v>
      </c>
      <c r="I79" s="107">
        <f>Tabell19[[#This Row],[NOK]]*Tabell19[[#This Row],[QTY]]</f>
        <v>0</v>
      </c>
      <c r="J79" s="142">
        <f>Tabell19[[#This Row],[EURO]]*Tabell19[[#This Row],[QTY]]</f>
        <v>0</v>
      </c>
      <c r="K79" s="141">
        <v>12220534</v>
      </c>
    </row>
    <row r="80" spans="1:11" outlineLevel="1" x14ac:dyDescent="0.25">
      <c r="A80" s="118">
        <v>22</v>
      </c>
      <c r="B80" s="158">
        <v>5572</v>
      </c>
      <c r="C80" s="104" t="s">
        <v>81</v>
      </c>
      <c r="D80" s="81"/>
      <c r="E80" s="108" t="s">
        <v>26</v>
      </c>
      <c r="F80" s="105">
        <v>12</v>
      </c>
      <c r="G80" s="111">
        <v>21.9</v>
      </c>
      <c r="H80" s="106">
        <f t="shared" si="2"/>
        <v>1.8614999999999999</v>
      </c>
      <c r="I80" s="107">
        <f>Tabell19[[#This Row],[NOK]]*Tabell19[[#This Row],[QTY]]</f>
        <v>0</v>
      </c>
      <c r="J80" s="142">
        <f>Tabell19[[#This Row],[EURO]]*Tabell19[[#This Row],[QTY]]</f>
        <v>0</v>
      </c>
      <c r="K80" s="141">
        <v>11000964</v>
      </c>
    </row>
    <row r="81" spans="1:11" outlineLevel="1" x14ac:dyDescent="0.25">
      <c r="A81" s="117">
        <v>23</v>
      </c>
      <c r="B81" s="158">
        <v>5580</v>
      </c>
      <c r="C81" s="104" t="s">
        <v>82</v>
      </c>
      <c r="D81" s="81"/>
      <c r="E81" s="105" t="s">
        <v>26</v>
      </c>
      <c r="F81" s="105">
        <v>13</v>
      </c>
      <c r="G81" s="111">
        <v>26.9</v>
      </c>
      <c r="H81" s="106">
        <f t="shared" si="2"/>
        <v>2.2865000000000002</v>
      </c>
      <c r="I81" s="107">
        <f>Tabell19[[#This Row],[NOK]]*Tabell19[[#This Row],[QTY]]</f>
        <v>0</v>
      </c>
      <c r="J81" s="142">
        <f>Tabell19[[#This Row],[EURO]]*Tabell19[[#This Row],[QTY]]</f>
        <v>0</v>
      </c>
      <c r="K81" s="141">
        <v>11000966</v>
      </c>
    </row>
    <row r="82" spans="1:11" outlineLevel="1" x14ac:dyDescent="0.25">
      <c r="A82" s="118">
        <v>24</v>
      </c>
      <c r="B82" s="158">
        <v>5584</v>
      </c>
      <c r="C82" s="104" t="s">
        <v>83</v>
      </c>
      <c r="D82" s="81"/>
      <c r="E82" s="108" t="s">
        <v>26</v>
      </c>
      <c r="F82" s="105">
        <v>7</v>
      </c>
      <c r="G82" s="111">
        <v>53.9</v>
      </c>
      <c r="H82" s="106">
        <f t="shared" si="2"/>
        <v>4.5815000000000001</v>
      </c>
      <c r="I82" s="107">
        <f>Tabell19[[#This Row],[NOK]]*Tabell19[[#This Row],[QTY]]</f>
        <v>0</v>
      </c>
      <c r="J82" s="142">
        <f>Tabell19[[#This Row],[EURO]]*Tabell19[[#This Row],[QTY]]</f>
        <v>0</v>
      </c>
      <c r="K82" s="141">
        <v>12395937</v>
      </c>
    </row>
    <row r="83" spans="1:11" outlineLevel="1" x14ac:dyDescent="0.25">
      <c r="A83" s="117">
        <v>25</v>
      </c>
      <c r="B83" s="158">
        <v>5664</v>
      </c>
      <c r="C83" s="104" t="s">
        <v>84</v>
      </c>
      <c r="D83" s="81"/>
      <c r="E83" s="108" t="s">
        <v>26</v>
      </c>
      <c r="F83" s="105">
        <v>3</v>
      </c>
      <c r="G83" s="111">
        <v>102.9</v>
      </c>
      <c r="H83" s="106">
        <f t="shared" si="2"/>
        <v>8.7465000000000011</v>
      </c>
      <c r="I83" s="107">
        <f>Tabell19[[#This Row],[NOK]]*Tabell19[[#This Row],[QTY]]</f>
        <v>0</v>
      </c>
      <c r="J83" s="142">
        <f>Tabell19[[#This Row],[EURO]]*Tabell19[[#This Row],[QTY]]</f>
        <v>0</v>
      </c>
      <c r="K83" s="141">
        <v>11000898</v>
      </c>
    </row>
    <row r="84" spans="1:11" outlineLevel="1" x14ac:dyDescent="0.25">
      <c r="A84" s="118">
        <v>26</v>
      </c>
      <c r="B84" s="158">
        <v>2000554800000</v>
      </c>
      <c r="C84" s="104" t="s">
        <v>85</v>
      </c>
      <c r="D84" s="81"/>
      <c r="E84" s="108" t="s">
        <v>24</v>
      </c>
      <c r="F84" s="105">
        <v>10</v>
      </c>
      <c r="G84" s="111">
        <v>36.9</v>
      </c>
      <c r="H84" s="106">
        <f t="shared" si="2"/>
        <v>3.1365000000000003</v>
      </c>
      <c r="I84" s="107">
        <f>Tabell19[[#This Row],[NOK]]*Tabell19[[#This Row],[QTY]]</f>
        <v>0</v>
      </c>
      <c r="J84" s="142">
        <f>Tabell19[[#This Row],[EURO]]*Tabell19[[#This Row],[QTY]]</f>
        <v>0</v>
      </c>
      <c r="K84" s="141">
        <v>11887344</v>
      </c>
    </row>
    <row r="85" spans="1:11" outlineLevel="1" x14ac:dyDescent="0.25">
      <c r="A85" s="117">
        <v>27</v>
      </c>
      <c r="B85" s="158">
        <v>5358</v>
      </c>
      <c r="C85" s="104" t="s">
        <v>86</v>
      </c>
      <c r="D85" s="81"/>
      <c r="E85" s="108" t="s">
        <v>26</v>
      </c>
      <c r="F85" s="105">
        <v>5</v>
      </c>
      <c r="G85" s="111">
        <v>114.9</v>
      </c>
      <c r="H85" s="106">
        <f t="shared" si="2"/>
        <v>9.7665000000000006</v>
      </c>
      <c r="I85" s="107">
        <f>Tabell19[[#This Row],[NOK]]*Tabell19[[#This Row],[QTY]]</f>
        <v>0</v>
      </c>
      <c r="J85" s="142">
        <f>Tabell19[[#This Row],[EURO]]*Tabell19[[#This Row],[QTY]]</f>
        <v>0</v>
      </c>
      <c r="K85" s="141">
        <v>11000903</v>
      </c>
    </row>
    <row r="86" spans="1:11" outlineLevel="1" x14ac:dyDescent="0.25">
      <c r="A86" s="118">
        <v>28</v>
      </c>
      <c r="B86" s="158">
        <v>20000558200000</v>
      </c>
      <c r="C86" s="104" t="s">
        <v>87</v>
      </c>
      <c r="D86" s="81"/>
      <c r="E86" s="105" t="s">
        <v>24</v>
      </c>
      <c r="F86" s="105">
        <v>10</v>
      </c>
      <c r="G86" s="111">
        <v>38.9</v>
      </c>
      <c r="H86" s="106">
        <f t="shared" si="2"/>
        <v>3.3065000000000002</v>
      </c>
      <c r="I86" s="107">
        <f>Tabell19[[#This Row],[NOK]]*Tabell19[[#This Row],[QTY]]</f>
        <v>0</v>
      </c>
      <c r="J86" s="142">
        <f>Tabell19[[#This Row],[EURO]]*Tabell19[[#This Row],[QTY]]</f>
        <v>0</v>
      </c>
      <c r="K86" s="141">
        <v>11000950</v>
      </c>
    </row>
    <row r="87" spans="1:11" outlineLevel="1" x14ac:dyDescent="0.25">
      <c r="A87" s="117">
        <v>29</v>
      </c>
      <c r="B87" s="158">
        <v>5571</v>
      </c>
      <c r="C87" s="104" t="s">
        <v>88</v>
      </c>
      <c r="D87" s="81"/>
      <c r="E87" s="105" t="s">
        <v>26</v>
      </c>
      <c r="F87" s="105">
        <v>7</v>
      </c>
      <c r="G87" s="111">
        <v>57.9</v>
      </c>
      <c r="H87" s="106">
        <f t="shared" si="2"/>
        <v>4.9215</v>
      </c>
      <c r="I87" s="107">
        <f>Tabell19[[#This Row],[NOK]]*Tabell19[[#This Row],[QTY]]</f>
        <v>0</v>
      </c>
      <c r="J87" s="142">
        <f>Tabell19[[#This Row],[EURO]]*Tabell19[[#This Row],[QTY]]</f>
        <v>0</v>
      </c>
      <c r="K87" s="141">
        <v>13793031</v>
      </c>
    </row>
    <row r="88" spans="1:11" outlineLevel="1" x14ac:dyDescent="0.25">
      <c r="A88" s="118">
        <v>30</v>
      </c>
      <c r="B88" s="158">
        <v>5536</v>
      </c>
      <c r="C88" s="104" t="s">
        <v>89</v>
      </c>
      <c r="D88" s="81"/>
      <c r="E88" s="105" t="s">
        <v>26</v>
      </c>
      <c r="F88" s="105">
        <v>15</v>
      </c>
      <c r="G88" s="111">
        <v>31.9</v>
      </c>
      <c r="H88" s="106">
        <f t="shared" si="2"/>
        <v>2.7115</v>
      </c>
      <c r="I88" s="107">
        <f>Tabell19[[#This Row],[NOK]]*Tabell19[[#This Row],[QTY]]</f>
        <v>0</v>
      </c>
      <c r="J88" s="142">
        <f>Tabell19[[#This Row],[EURO]]*Tabell19[[#This Row],[QTY]]</f>
        <v>0</v>
      </c>
      <c r="K88" s="141">
        <v>11000968</v>
      </c>
    </row>
    <row r="89" spans="1:11" outlineLevel="1" x14ac:dyDescent="0.25">
      <c r="A89" s="117">
        <v>31</v>
      </c>
      <c r="B89" s="158">
        <v>2000562400000</v>
      </c>
      <c r="C89" s="104" t="s">
        <v>90</v>
      </c>
      <c r="D89" s="81"/>
      <c r="E89" s="105" t="s">
        <v>24</v>
      </c>
      <c r="F89" s="105">
        <v>8</v>
      </c>
      <c r="G89" s="111">
        <v>78.900000000000006</v>
      </c>
      <c r="H89" s="106">
        <f t="shared" si="2"/>
        <v>6.706500000000001</v>
      </c>
      <c r="I89" s="107">
        <f>Tabell19[[#This Row],[NOK]]*Tabell19[[#This Row],[QTY]]</f>
        <v>0</v>
      </c>
      <c r="J89" s="142">
        <f>Tabell19[[#This Row],[EURO]]*Tabell19[[#This Row],[QTY]]</f>
        <v>0</v>
      </c>
      <c r="K89" s="141">
        <v>11887340</v>
      </c>
    </row>
    <row r="90" spans="1:11" outlineLevel="1" x14ac:dyDescent="0.25">
      <c r="A90" s="118">
        <v>32</v>
      </c>
      <c r="B90" s="158">
        <v>5676</v>
      </c>
      <c r="C90" s="104" t="s">
        <v>91</v>
      </c>
      <c r="D90" s="81"/>
      <c r="E90" s="108" t="s">
        <v>26</v>
      </c>
      <c r="F90" s="105">
        <v>4</v>
      </c>
      <c r="G90" s="111">
        <v>232.9</v>
      </c>
      <c r="H90" s="106">
        <f t="shared" si="2"/>
        <v>19.796500000000002</v>
      </c>
      <c r="I90" s="107">
        <f>Tabell19[[#This Row],[NOK]]*Tabell19[[#This Row],[QTY]]</f>
        <v>0</v>
      </c>
      <c r="J90" s="142">
        <f>Tabell19[[#This Row],[EURO]]*Tabell19[[#This Row],[QTY]]</f>
        <v>0</v>
      </c>
      <c r="K90" s="141"/>
    </row>
    <row r="91" spans="1:11" outlineLevel="1" x14ac:dyDescent="0.25">
      <c r="A91" s="117">
        <v>33</v>
      </c>
      <c r="B91" s="158">
        <v>2000585100000</v>
      </c>
      <c r="C91" s="104" t="s">
        <v>92</v>
      </c>
      <c r="D91" s="81"/>
      <c r="E91" s="108" t="s">
        <v>24</v>
      </c>
      <c r="F91" s="105">
        <v>30</v>
      </c>
      <c r="G91" s="111">
        <v>27.9</v>
      </c>
      <c r="H91" s="106">
        <f t="shared" ref="H91:H118" si="3">G91*$N$1</f>
        <v>2.3715000000000002</v>
      </c>
      <c r="I91" s="107">
        <f>Tabell19[[#This Row],[NOK]]*Tabell19[[#This Row],[QTY]]</f>
        <v>0</v>
      </c>
      <c r="J91" s="142">
        <f>Tabell19[[#This Row],[EURO]]*Tabell19[[#This Row],[QTY]]</f>
        <v>0</v>
      </c>
      <c r="K91" s="141">
        <v>11000976</v>
      </c>
    </row>
    <row r="92" spans="1:11" outlineLevel="1" x14ac:dyDescent="0.25">
      <c r="A92" s="118">
        <v>34</v>
      </c>
      <c r="B92" s="158">
        <v>2000562500000</v>
      </c>
      <c r="C92" s="104" t="s">
        <v>93</v>
      </c>
      <c r="D92" s="81"/>
      <c r="E92" s="105" t="s">
        <v>24</v>
      </c>
      <c r="F92" s="105">
        <v>25</v>
      </c>
      <c r="G92" s="111">
        <v>22.9</v>
      </c>
      <c r="H92" s="106">
        <f t="shared" si="3"/>
        <v>1.9465000000000001</v>
      </c>
      <c r="I92" s="107">
        <f>Tabell19[[#This Row],[NOK]]*Tabell19[[#This Row],[QTY]]</f>
        <v>0</v>
      </c>
      <c r="J92" s="142">
        <f>Tabell19[[#This Row],[EURO]]*Tabell19[[#This Row],[QTY]]</f>
        <v>0</v>
      </c>
      <c r="K92" s="141">
        <v>11000974</v>
      </c>
    </row>
    <row r="93" spans="1:11" outlineLevel="1" x14ac:dyDescent="0.25">
      <c r="A93" s="117">
        <v>35</v>
      </c>
      <c r="B93" s="158">
        <v>2000532000000</v>
      </c>
      <c r="C93" s="104" t="s">
        <v>94</v>
      </c>
      <c r="D93" s="81"/>
      <c r="E93" s="108" t="s">
        <v>24</v>
      </c>
      <c r="F93" s="105">
        <v>20</v>
      </c>
      <c r="G93" s="111">
        <v>21.9</v>
      </c>
      <c r="H93" s="106">
        <f t="shared" si="3"/>
        <v>1.8614999999999999</v>
      </c>
      <c r="I93" s="107">
        <f>Tabell19[[#This Row],[NOK]]*Tabell19[[#This Row],[QTY]]</f>
        <v>0</v>
      </c>
      <c r="J93" s="142">
        <f>Tabell19[[#This Row],[EURO]]*Tabell19[[#This Row],[QTY]]</f>
        <v>0</v>
      </c>
      <c r="K93" s="141"/>
    </row>
    <row r="94" spans="1:11" outlineLevel="1" x14ac:dyDescent="0.25">
      <c r="A94" s="118">
        <v>36</v>
      </c>
      <c r="B94" s="158">
        <v>2000532300000</v>
      </c>
      <c r="C94" s="104" t="s">
        <v>95</v>
      </c>
      <c r="D94" s="81"/>
      <c r="E94" s="105" t="s">
        <v>24</v>
      </c>
      <c r="F94" s="105">
        <v>14</v>
      </c>
      <c r="G94" s="111">
        <v>22.9</v>
      </c>
      <c r="H94" s="106">
        <f t="shared" si="3"/>
        <v>1.9465000000000001</v>
      </c>
      <c r="I94" s="107">
        <f>Tabell19[[#This Row],[NOK]]*Tabell19[[#This Row],[QTY]]</f>
        <v>0</v>
      </c>
      <c r="J94" s="142">
        <f>Tabell19[[#This Row],[EURO]]*Tabell19[[#This Row],[QTY]]</f>
        <v>0</v>
      </c>
      <c r="K94" s="141">
        <v>11000973</v>
      </c>
    </row>
    <row r="95" spans="1:11" outlineLevel="1" x14ac:dyDescent="0.25">
      <c r="A95" s="117">
        <v>37</v>
      </c>
      <c r="B95" s="158">
        <v>2000598700000</v>
      </c>
      <c r="C95" s="104" t="s">
        <v>96</v>
      </c>
      <c r="D95" s="81"/>
      <c r="E95" s="108" t="s">
        <v>24</v>
      </c>
      <c r="F95" s="105">
        <v>20</v>
      </c>
      <c r="G95" s="111">
        <v>18.899999999999999</v>
      </c>
      <c r="H95" s="106">
        <f t="shared" si="3"/>
        <v>1.6065</v>
      </c>
      <c r="I95" s="107">
        <f>Tabell19[[#This Row],[NOK]]*Tabell19[[#This Row],[QTY]]</f>
        <v>0</v>
      </c>
      <c r="J95" s="142">
        <f>Tabell19[[#This Row],[EURO]]*Tabell19[[#This Row],[QTY]]</f>
        <v>0</v>
      </c>
      <c r="K95" s="141">
        <v>12223050</v>
      </c>
    </row>
    <row r="96" spans="1:11" outlineLevel="1" x14ac:dyDescent="0.25">
      <c r="A96" s="118">
        <v>38</v>
      </c>
      <c r="B96" s="158">
        <v>5610</v>
      </c>
      <c r="C96" s="104" t="s">
        <v>97</v>
      </c>
      <c r="D96" s="81"/>
      <c r="E96" s="108" t="s">
        <v>26</v>
      </c>
      <c r="F96" s="105">
        <v>11</v>
      </c>
      <c r="G96" s="111">
        <v>34.9</v>
      </c>
      <c r="H96" s="106">
        <f t="shared" si="3"/>
        <v>2.9664999999999999</v>
      </c>
      <c r="I96" s="107">
        <f>Tabell19[[#This Row],[NOK]]*Tabell19[[#This Row],[QTY]]</f>
        <v>0</v>
      </c>
      <c r="J96" s="142">
        <f>Tabell19[[#This Row],[EURO]]*Tabell19[[#This Row],[QTY]]</f>
        <v>0</v>
      </c>
      <c r="K96" s="141">
        <v>11887388</v>
      </c>
    </row>
    <row r="97" spans="1:11" outlineLevel="1" x14ac:dyDescent="0.25">
      <c r="A97" s="117">
        <v>39</v>
      </c>
      <c r="B97" s="158">
        <v>5629</v>
      </c>
      <c r="C97" s="104" t="s">
        <v>98</v>
      </c>
      <c r="D97" s="81"/>
      <c r="E97" s="108" t="s">
        <v>24</v>
      </c>
      <c r="F97" s="105">
        <v>12</v>
      </c>
      <c r="G97" s="111">
        <v>27.9</v>
      </c>
      <c r="H97" s="106">
        <f t="shared" si="3"/>
        <v>2.3715000000000002</v>
      </c>
      <c r="I97" s="107">
        <f>Tabell19[[#This Row],[NOK]]*Tabell19[[#This Row],[QTY]]</f>
        <v>0</v>
      </c>
      <c r="J97" s="142">
        <f>Tabell19[[#This Row],[EURO]]*Tabell19[[#This Row],[QTY]]</f>
        <v>0</v>
      </c>
      <c r="K97" s="141">
        <v>12049457</v>
      </c>
    </row>
    <row r="98" spans="1:11" outlineLevel="1" x14ac:dyDescent="0.25">
      <c r="A98" s="118">
        <v>40</v>
      </c>
      <c r="B98" s="158">
        <v>2000560100000</v>
      </c>
      <c r="C98" s="104" t="s">
        <v>99</v>
      </c>
      <c r="D98" s="81"/>
      <c r="E98" s="108" t="s">
        <v>26</v>
      </c>
      <c r="F98" s="105">
        <v>6</v>
      </c>
      <c r="G98" s="111">
        <v>50.75</v>
      </c>
      <c r="H98" s="106">
        <f t="shared" si="3"/>
        <v>4.3137500000000006</v>
      </c>
      <c r="I98" s="107">
        <f>Tabell19[[#This Row],[NOK]]*Tabell19[[#This Row],[QTY]]</f>
        <v>0</v>
      </c>
      <c r="J98" s="142">
        <f>Tabell19[[#This Row],[EURO]]*Tabell19[[#This Row],[QTY]]</f>
        <v>0</v>
      </c>
      <c r="K98" s="141">
        <v>11001059</v>
      </c>
    </row>
    <row r="99" spans="1:11" outlineLevel="1" x14ac:dyDescent="0.25">
      <c r="A99" s="117">
        <v>41</v>
      </c>
      <c r="B99" s="158">
        <v>2000536600000</v>
      </c>
      <c r="C99" s="104" t="s">
        <v>100</v>
      </c>
      <c r="D99" s="81"/>
      <c r="E99" s="108" t="s">
        <v>24</v>
      </c>
      <c r="F99" s="105">
        <v>10</v>
      </c>
      <c r="G99" s="111">
        <v>42.9</v>
      </c>
      <c r="H99" s="106">
        <f t="shared" si="3"/>
        <v>3.6465000000000001</v>
      </c>
      <c r="I99" s="107">
        <f>Tabell19[[#This Row],[NOK]]*Tabell19[[#This Row],[QTY]]</f>
        <v>0</v>
      </c>
      <c r="J99" s="142">
        <f>Tabell19[[#This Row],[EURO]]*Tabell19[[#This Row],[QTY]]</f>
        <v>0</v>
      </c>
      <c r="K99" s="141">
        <v>13800242</v>
      </c>
    </row>
    <row r="100" spans="1:11" outlineLevel="1" x14ac:dyDescent="0.25">
      <c r="A100" s="118">
        <v>42</v>
      </c>
      <c r="B100" s="158">
        <v>5530</v>
      </c>
      <c r="C100" s="104" t="s">
        <v>101</v>
      </c>
      <c r="D100" s="81"/>
      <c r="E100" s="108" t="s">
        <v>26</v>
      </c>
      <c r="F100" s="105">
        <v>4</v>
      </c>
      <c r="G100" s="111">
        <v>81.900000000000006</v>
      </c>
      <c r="H100" s="106">
        <f t="shared" si="3"/>
        <v>6.9615000000000009</v>
      </c>
      <c r="I100" s="107">
        <f>Tabell19[[#This Row],[NOK]]*Tabell19[[#This Row],[QTY]]</f>
        <v>0</v>
      </c>
      <c r="J100" s="142">
        <f>Tabell19[[#This Row],[EURO]]*Tabell19[[#This Row],[QTY]]</f>
        <v>0</v>
      </c>
      <c r="K100" s="141">
        <v>11000985</v>
      </c>
    </row>
    <row r="101" spans="1:11" outlineLevel="1" x14ac:dyDescent="0.25">
      <c r="A101" s="117">
        <v>43</v>
      </c>
      <c r="B101" s="158">
        <v>5528</v>
      </c>
      <c r="C101" s="104" t="s">
        <v>102</v>
      </c>
      <c r="D101" s="81"/>
      <c r="E101" s="108" t="s">
        <v>26</v>
      </c>
      <c r="F101" s="105">
        <v>4</v>
      </c>
      <c r="G101" s="111">
        <v>96.9</v>
      </c>
      <c r="H101" s="106">
        <f t="shared" si="3"/>
        <v>8.2365000000000013</v>
      </c>
      <c r="I101" s="107">
        <f>Tabell19[[#This Row],[NOK]]*Tabell19[[#This Row],[QTY]]</f>
        <v>0</v>
      </c>
      <c r="J101" s="142">
        <f>Tabell19[[#This Row],[EURO]]*Tabell19[[#This Row],[QTY]]</f>
        <v>0</v>
      </c>
      <c r="K101" s="141">
        <v>11000984</v>
      </c>
    </row>
    <row r="102" spans="1:11" outlineLevel="1" x14ac:dyDescent="0.25">
      <c r="A102" s="118">
        <v>44</v>
      </c>
      <c r="B102" s="158">
        <v>2000598600000</v>
      </c>
      <c r="C102" s="104" t="s">
        <v>103</v>
      </c>
      <c r="D102" s="81"/>
      <c r="E102" s="108" t="s">
        <v>24</v>
      </c>
      <c r="F102" s="105">
        <v>11</v>
      </c>
      <c r="G102" s="111">
        <v>37.9</v>
      </c>
      <c r="H102" s="106">
        <f t="shared" si="3"/>
        <v>3.2215000000000003</v>
      </c>
      <c r="I102" s="107">
        <f>Tabell19[[#This Row],[NOK]]*Tabell19[[#This Row],[QTY]]</f>
        <v>0</v>
      </c>
      <c r="J102" s="142">
        <f>Tabell19[[#This Row],[EURO]]*Tabell19[[#This Row],[QTY]]</f>
        <v>0</v>
      </c>
      <c r="K102" s="141"/>
    </row>
    <row r="103" spans="1:11" outlineLevel="1" x14ac:dyDescent="0.25">
      <c r="A103" s="117">
        <v>45</v>
      </c>
      <c r="B103" s="158">
        <v>5529</v>
      </c>
      <c r="C103" s="104" t="s">
        <v>104</v>
      </c>
      <c r="D103" s="81"/>
      <c r="E103" s="108" t="s">
        <v>26</v>
      </c>
      <c r="F103" s="105">
        <v>4</v>
      </c>
      <c r="G103" s="111">
        <v>98.9</v>
      </c>
      <c r="H103" s="106">
        <f t="shared" si="3"/>
        <v>8.4065000000000012</v>
      </c>
      <c r="I103" s="107">
        <f>Tabell19[[#This Row],[NOK]]*Tabell19[[#This Row],[QTY]]</f>
        <v>0</v>
      </c>
      <c r="J103" s="142">
        <f>Tabell19[[#This Row],[EURO]]*Tabell19[[#This Row],[QTY]]</f>
        <v>0</v>
      </c>
      <c r="K103" s="141"/>
    </row>
    <row r="104" spans="1:11" outlineLevel="1" x14ac:dyDescent="0.25">
      <c r="A104" s="118">
        <v>46</v>
      </c>
      <c r="B104" s="158">
        <v>5526</v>
      </c>
      <c r="C104" s="104" t="s">
        <v>105</v>
      </c>
      <c r="D104" s="81"/>
      <c r="E104" s="105" t="s">
        <v>26</v>
      </c>
      <c r="F104" s="105">
        <v>5</v>
      </c>
      <c r="G104" s="111">
        <v>146</v>
      </c>
      <c r="H104" s="106">
        <f t="shared" si="3"/>
        <v>12.41</v>
      </c>
      <c r="I104" s="107">
        <f>Tabell19[[#This Row],[NOK]]*Tabell19[[#This Row],[QTY]]</f>
        <v>0</v>
      </c>
      <c r="J104" s="142">
        <f>Tabell19[[#This Row],[EURO]]*Tabell19[[#This Row],[QTY]]</f>
        <v>0</v>
      </c>
      <c r="K104" s="141">
        <v>11000983</v>
      </c>
    </row>
    <row r="105" spans="1:11" outlineLevel="1" x14ac:dyDescent="0.25">
      <c r="A105" s="117">
        <v>47</v>
      </c>
      <c r="B105" s="158">
        <v>200054900000</v>
      </c>
      <c r="C105" s="104" t="s">
        <v>106</v>
      </c>
      <c r="D105" s="81"/>
      <c r="E105" s="105" t="s">
        <v>24</v>
      </c>
      <c r="F105" s="105">
        <v>12</v>
      </c>
      <c r="G105" s="111">
        <v>45.9</v>
      </c>
      <c r="H105" s="106">
        <f t="shared" si="3"/>
        <v>3.9015</v>
      </c>
      <c r="I105" s="107">
        <f>Tabell19[[#This Row],[NOK]]*Tabell19[[#This Row],[QTY]]</f>
        <v>0</v>
      </c>
      <c r="J105" s="142">
        <f>Tabell19[[#This Row],[EURO]]*Tabell19[[#This Row],[QTY]]</f>
        <v>0</v>
      </c>
      <c r="K105" s="141"/>
    </row>
    <row r="106" spans="1:11" outlineLevel="1" x14ac:dyDescent="0.25">
      <c r="A106" s="118">
        <v>48</v>
      </c>
      <c r="B106" s="158">
        <v>2000607000000</v>
      </c>
      <c r="C106" s="104" t="s">
        <v>107</v>
      </c>
      <c r="D106" s="81"/>
      <c r="E106" s="105" t="s">
        <v>24</v>
      </c>
      <c r="F106" s="105">
        <v>10</v>
      </c>
      <c r="G106" s="111">
        <v>28.9</v>
      </c>
      <c r="H106" s="106">
        <f t="shared" si="3"/>
        <v>2.4565000000000001</v>
      </c>
      <c r="I106" s="107">
        <f>Tabell19[[#This Row],[NOK]]*Tabell19[[#This Row],[QTY]]</f>
        <v>0</v>
      </c>
      <c r="J106" s="142">
        <f>Tabell19[[#This Row],[EURO]]*Tabell19[[#This Row],[QTY]]</f>
        <v>0</v>
      </c>
      <c r="K106" s="141">
        <v>11000901</v>
      </c>
    </row>
    <row r="107" spans="1:11" outlineLevel="1" x14ac:dyDescent="0.25">
      <c r="A107" s="117">
        <v>49</v>
      </c>
      <c r="B107" s="158">
        <v>5658</v>
      </c>
      <c r="C107" s="104" t="s">
        <v>108</v>
      </c>
      <c r="D107" s="81"/>
      <c r="E107" s="105" t="s">
        <v>26</v>
      </c>
      <c r="F107" s="105">
        <v>5</v>
      </c>
      <c r="G107" s="111">
        <v>154.9</v>
      </c>
      <c r="H107" s="106">
        <f t="shared" si="3"/>
        <v>13.166500000000001</v>
      </c>
      <c r="I107" s="107">
        <f>Tabell19[[#This Row],[NOK]]*Tabell19[[#This Row],[QTY]]</f>
        <v>0</v>
      </c>
      <c r="J107" s="142">
        <f>Tabell19[[#This Row],[EURO]]*Tabell19[[#This Row],[QTY]]</f>
        <v>0</v>
      </c>
      <c r="K107" s="141">
        <v>11000895</v>
      </c>
    </row>
    <row r="108" spans="1:11" outlineLevel="1" x14ac:dyDescent="0.25">
      <c r="A108" s="118">
        <v>50</v>
      </c>
      <c r="B108" s="158">
        <v>2000565700000</v>
      </c>
      <c r="C108" s="104" t="s">
        <v>109</v>
      </c>
      <c r="D108" s="81"/>
      <c r="E108" s="108" t="s">
        <v>24</v>
      </c>
      <c r="F108" s="105">
        <v>24</v>
      </c>
      <c r="G108" s="111">
        <v>19.899999999999999</v>
      </c>
      <c r="H108" s="106">
        <f t="shared" si="3"/>
        <v>1.6915</v>
      </c>
      <c r="I108" s="107">
        <f>Tabell19[[#This Row],[NOK]]*Tabell19[[#This Row],[QTY]]</f>
        <v>0</v>
      </c>
      <c r="J108" s="142">
        <f>Tabell19[[#This Row],[EURO]]*Tabell19[[#This Row],[QTY]]</f>
        <v>0</v>
      </c>
      <c r="K108" s="141"/>
    </row>
    <row r="109" spans="1:11" outlineLevel="1" x14ac:dyDescent="0.25">
      <c r="A109" s="117">
        <v>51</v>
      </c>
      <c r="B109" s="158">
        <v>2000595400000</v>
      </c>
      <c r="C109" s="104" t="s">
        <v>110</v>
      </c>
      <c r="D109" s="81"/>
      <c r="E109" s="108" t="s">
        <v>24</v>
      </c>
      <c r="F109" s="105">
        <v>10</v>
      </c>
      <c r="G109" s="111">
        <v>29.9</v>
      </c>
      <c r="H109" s="106">
        <f t="shared" si="3"/>
        <v>2.5415000000000001</v>
      </c>
      <c r="I109" s="107">
        <f>Tabell19[[#This Row],[NOK]]*Tabell19[[#This Row],[QTY]]</f>
        <v>0</v>
      </c>
      <c r="J109" s="142">
        <f>Tabell19[[#This Row],[EURO]]*Tabell19[[#This Row],[QTY]]</f>
        <v>0</v>
      </c>
      <c r="K109" s="141">
        <v>13774143</v>
      </c>
    </row>
    <row r="110" spans="1:11" outlineLevel="1" x14ac:dyDescent="0.25">
      <c r="A110" s="118">
        <v>52</v>
      </c>
      <c r="B110" s="158">
        <v>5683</v>
      </c>
      <c r="C110" s="104" t="s">
        <v>111</v>
      </c>
      <c r="D110" s="81"/>
      <c r="E110" s="105" t="s">
        <v>26</v>
      </c>
      <c r="F110" s="105">
        <v>15</v>
      </c>
      <c r="G110" s="111">
        <v>22.9</v>
      </c>
      <c r="H110" s="106">
        <f t="shared" si="3"/>
        <v>1.9465000000000001</v>
      </c>
      <c r="I110" s="107">
        <f>Tabell19[[#This Row],[NOK]]*Tabell19[[#This Row],[QTY]]</f>
        <v>0</v>
      </c>
      <c r="J110" s="142">
        <f>Tabell19[[#This Row],[EURO]]*Tabell19[[#This Row],[QTY]]</f>
        <v>0</v>
      </c>
      <c r="K110" s="141">
        <v>11000993</v>
      </c>
    </row>
    <row r="111" spans="1:11" outlineLevel="1" x14ac:dyDescent="0.25">
      <c r="A111" s="117">
        <v>53</v>
      </c>
      <c r="B111" s="158">
        <v>5695</v>
      </c>
      <c r="C111" s="104" t="s">
        <v>112</v>
      </c>
      <c r="D111" s="81"/>
      <c r="E111" s="105" t="s">
        <v>26</v>
      </c>
      <c r="F111" s="105">
        <v>6</v>
      </c>
      <c r="G111" s="111">
        <v>39.9</v>
      </c>
      <c r="H111" s="106">
        <f t="shared" si="3"/>
        <v>3.3915000000000002</v>
      </c>
      <c r="I111" s="107">
        <f>Tabell19[[#This Row],[NOK]]*Tabell19[[#This Row],[QTY]]</f>
        <v>0</v>
      </c>
      <c r="J111" s="142">
        <f>Tabell19[[#This Row],[EURO]]*Tabell19[[#This Row],[QTY]]</f>
        <v>0</v>
      </c>
      <c r="K111" s="141">
        <v>12390285</v>
      </c>
    </row>
    <row r="112" spans="1:11" outlineLevel="1" x14ac:dyDescent="0.25">
      <c r="A112" s="118">
        <v>54</v>
      </c>
      <c r="B112" s="158">
        <v>2000544600000</v>
      </c>
      <c r="C112" s="104" t="s">
        <v>113</v>
      </c>
      <c r="D112" s="81"/>
      <c r="E112" s="105" t="s">
        <v>24</v>
      </c>
      <c r="F112" s="105">
        <v>9</v>
      </c>
      <c r="G112" s="111">
        <v>32.9</v>
      </c>
      <c r="H112" s="106">
        <f t="shared" si="3"/>
        <v>2.7965</v>
      </c>
      <c r="I112" s="107">
        <f>Tabell19[[#This Row],[NOK]]*Tabell19[[#This Row],[QTY]]</f>
        <v>0</v>
      </c>
      <c r="J112" s="142">
        <f>Tabell19[[#This Row],[EURO]]*Tabell19[[#This Row],[QTY]]</f>
        <v>0</v>
      </c>
      <c r="K112" s="141">
        <v>13798927</v>
      </c>
    </row>
    <row r="113" spans="1:11" outlineLevel="1" x14ac:dyDescent="0.25">
      <c r="A113" s="117">
        <v>55</v>
      </c>
      <c r="B113" s="158">
        <v>5538</v>
      </c>
      <c r="C113" s="104" t="s">
        <v>114</v>
      </c>
      <c r="D113" s="81"/>
      <c r="E113" s="108" t="s">
        <v>26</v>
      </c>
      <c r="F113" s="105">
        <v>5</v>
      </c>
      <c r="G113" s="111">
        <v>68.900000000000006</v>
      </c>
      <c r="H113" s="106">
        <f t="shared" si="3"/>
        <v>5.8565000000000005</v>
      </c>
      <c r="I113" s="107">
        <f>Tabell19[[#This Row],[NOK]]*Tabell19[[#This Row],[QTY]]</f>
        <v>0</v>
      </c>
      <c r="J113" s="142">
        <f>Tabell19[[#This Row],[EURO]]*Tabell19[[#This Row],[QTY]]</f>
        <v>0</v>
      </c>
      <c r="K113" s="141">
        <v>11001065</v>
      </c>
    </row>
    <row r="114" spans="1:11" outlineLevel="1" x14ac:dyDescent="0.25">
      <c r="A114" s="118">
        <v>56</v>
      </c>
      <c r="B114" s="158">
        <v>2000653800000</v>
      </c>
      <c r="C114" s="104" t="s">
        <v>115</v>
      </c>
      <c r="D114" s="81"/>
      <c r="E114" s="108" t="s">
        <v>26</v>
      </c>
      <c r="F114" s="105">
        <v>4</v>
      </c>
      <c r="G114" s="111">
        <v>91.9</v>
      </c>
      <c r="H114" s="106">
        <f t="shared" si="3"/>
        <v>7.8115000000000014</v>
      </c>
      <c r="I114" s="107">
        <f>Tabell19[[#This Row],[NOK]]*Tabell19[[#This Row],[QTY]]</f>
        <v>0</v>
      </c>
      <c r="J114" s="142">
        <f>Tabell19[[#This Row],[EURO]]*Tabell19[[#This Row],[QTY]]</f>
        <v>0</v>
      </c>
      <c r="K114" s="141"/>
    </row>
    <row r="115" spans="1:11" outlineLevel="1" x14ac:dyDescent="0.25">
      <c r="A115" s="117">
        <v>57</v>
      </c>
      <c r="B115" s="158">
        <v>2000559900000</v>
      </c>
      <c r="C115" s="104" t="s">
        <v>116</v>
      </c>
      <c r="D115" s="81"/>
      <c r="E115" s="105" t="s">
        <v>24</v>
      </c>
      <c r="F115" s="105">
        <v>16</v>
      </c>
      <c r="G115" s="111">
        <v>28.9</v>
      </c>
      <c r="H115" s="106">
        <f t="shared" si="3"/>
        <v>2.4565000000000001</v>
      </c>
      <c r="I115" s="107">
        <f>Tabell19[[#This Row],[NOK]]*Tabell19[[#This Row],[QTY]]</f>
        <v>0</v>
      </c>
      <c r="J115" s="142">
        <f>Tabell19[[#This Row],[EURO]]*Tabell19[[#This Row],[QTY]]</f>
        <v>0</v>
      </c>
      <c r="K115" s="141">
        <v>12395942</v>
      </c>
    </row>
    <row r="116" spans="1:11" outlineLevel="1" x14ac:dyDescent="0.25">
      <c r="A116" s="118">
        <v>58</v>
      </c>
      <c r="B116" s="158">
        <v>2000604800000</v>
      </c>
      <c r="C116" s="104" t="s">
        <v>117</v>
      </c>
      <c r="D116" s="81"/>
      <c r="E116" s="105" t="s">
        <v>24</v>
      </c>
      <c r="F116" s="105">
        <v>9</v>
      </c>
      <c r="G116" s="111">
        <v>57.9</v>
      </c>
      <c r="H116" s="106">
        <f t="shared" si="3"/>
        <v>4.9215</v>
      </c>
      <c r="I116" s="107">
        <f>Tabell19[[#This Row],[NOK]]*Tabell19[[#This Row],[QTY]]</f>
        <v>0</v>
      </c>
      <c r="J116" s="142">
        <f>Tabell19[[#This Row],[EURO]]*Tabell19[[#This Row],[QTY]]</f>
        <v>0</v>
      </c>
      <c r="K116" s="141"/>
    </row>
    <row r="117" spans="1:11" outlineLevel="1" x14ac:dyDescent="0.25">
      <c r="A117" s="117">
        <v>59</v>
      </c>
      <c r="B117" s="158">
        <v>2000606600000</v>
      </c>
      <c r="C117" s="104" t="s">
        <v>118</v>
      </c>
      <c r="D117" s="81"/>
      <c r="E117" s="108" t="s">
        <v>24</v>
      </c>
      <c r="F117" s="105">
        <v>8</v>
      </c>
      <c r="G117" s="111">
        <v>61.9</v>
      </c>
      <c r="H117" s="106">
        <f t="shared" si="3"/>
        <v>5.2614999999999998</v>
      </c>
      <c r="I117" s="107">
        <f>Tabell19[[#This Row],[NOK]]*Tabell19[[#This Row],[QTY]]</f>
        <v>0</v>
      </c>
      <c r="J117" s="142">
        <f>Tabell19[[#This Row],[EURO]]*Tabell19[[#This Row],[QTY]]</f>
        <v>0</v>
      </c>
      <c r="K117" s="141">
        <v>11001071</v>
      </c>
    </row>
    <row r="118" spans="1:11" outlineLevel="1" x14ac:dyDescent="0.25">
      <c r="A118" s="118">
        <v>64</v>
      </c>
      <c r="B118" s="158">
        <v>5542</v>
      </c>
      <c r="C118" s="104" t="s">
        <v>123</v>
      </c>
      <c r="D118" s="81"/>
      <c r="E118" s="108" t="s">
        <v>26</v>
      </c>
      <c r="F118" s="105">
        <v>5</v>
      </c>
      <c r="G118" s="111">
        <v>69.900000000000006</v>
      </c>
      <c r="H118" s="106">
        <f t="shared" si="3"/>
        <v>5.9415000000000013</v>
      </c>
      <c r="I118" s="107">
        <f>Tabell19[[#This Row],[NOK]]*Tabell19[[#This Row],[QTY]]</f>
        <v>0</v>
      </c>
      <c r="J118" s="142">
        <f>Tabell19[[#This Row],[EURO]]*Tabell19[[#This Row],[QTY]]</f>
        <v>0</v>
      </c>
      <c r="K118" s="141">
        <v>11001067</v>
      </c>
    </row>
    <row r="119" spans="1:11" outlineLevel="1" x14ac:dyDescent="0.25">
      <c r="A119" s="117">
        <v>65</v>
      </c>
      <c r="B119" s="158">
        <v>5449</v>
      </c>
      <c r="C119" s="104" t="s">
        <v>124</v>
      </c>
      <c r="D119" s="81"/>
      <c r="E119" s="108" t="s">
        <v>26</v>
      </c>
      <c r="F119" s="105">
        <v>3</v>
      </c>
      <c r="G119" s="111">
        <v>107.9</v>
      </c>
      <c r="H119" s="106">
        <f t="shared" ref="H119:H139" si="4">G119*$N$1</f>
        <v>9.1715000000000018</v>
      </c>
      <c r="I119" s="107">
        <f>Tabell19[[#This Row],[NOK]]*Tabell19[[#This Row],[QTY]]</f>
        <v>0</v>
      </c>
      <c r="J119" s="142">
        <f>Tabell19[[#This Row],[EURO]]*Tabell19[[#This Row],[QTY]]</f>
        <v>0</v>
      </c>
      <c r="K119" s="141">
        <v>11001021</v>
      </c>
    </row>
    <row r="120" spans="1:11" outlineLevel="1" x14ac:dyDescent="0.25">
      <c r="A120" s="118">
        <v>66</v>
      </c>
      <c r="B120" s="158">
        <v>6032</v>
      </c>
      <c r="C120" s="104" t="s">
        <v>125</v>
      </c>
      <c r="D120" s="81"/>
      <c r="E120" s="108" t="s">
        <v>26</v>
      </c>
      <c r="F120" s="105">
        <v>1</v>
      </c>
      <c r="G120" s="111">
        <v>147.9</v>
      </c>
      <c r="H120" s="106">
        <f t="shared" si="4"/>
        <v>12.571500000000002</v>
      </c>
      <c r="I120" s="107">
        <f>Tabell19[[#This Row],[NOK]]*Tabell19[[#This Row],[QTY]]</f>
        <v>0</v>
      </c>
      <c r="J120" s="142">
        <f>Tabell19[[#This Row],[EURO]]*Tabell19[[#This Row],[QTY]]</f>
        <v>0</v>
      </c>
      <c r="K120" s="141">
        <v>11001022</v>
      </c>
    </row>
    <row r="121" spans="1:11" outlineLevel="1" x14ac:dyDescent="0.25">
      <c r="A121" s="117">
        <v>67</v>
      </c>
      <c r="B121" s="158">
        <v>6021</v>
      </c>
      <c r="C121" s="104" t="s">
        <v>126</v>
      </c>
      <c r="D121" s="81"/>
      <c r="E121" s="108" t="s">
        <v>26</v>
      </c>
      <c r="F121" s="105">
        <v>2</v>
      </c>
      <c r="G121" s="111">
        <v>254.9</v>
      </c>
      <c r="H121" s="106">
        <f t="shared" si="4"/>
        <v>21.666500000000003</v>
      </c>
      <c r="I121" s="107">
        <f>Tabell19[[#This Row],[NOK]]*Tabell19[[#This Row],[QTY]]</f>
        <v>0</v>
      </c>
      <c r="J121" s="142">
        <f>Tabell19[[#This Row],[EURO]]*Tabell19[[#This Row],[QTY]]</f>
        <v>0</v>
      </c>
      <c r="K121" s="141">
        <v>11001017</v>
      </c>
    </row>
    <row r="122" spans="1:11" outlineLevel="1" x14ac:dyDescent="0.25">
      <c r="A122" s="118">
        <v>68</v>
      </c>
      <c r="B122" s="158">
        <v>5554</v>
      </c>
      <c r="C122" s="104" t="s">
        <v>127</v>
      </c>
      <c r="D122" s="81"/>
      <c r="E122" s="105" t="s">
        <v>26</v>
      </c>
      <c r="F122" s="105">
        <v>3</v>
      </c>
      <c r="G122" s="111">
        <v>74.900000000000006</v>
      </c>
      <c r="H122" s="106">
        <f t="shared" si="4"/>
        <v>6.3665000000000012</v>
      </c>
      <c r="I122" s="107">
        <f>Tabell19[[#This Row],[NOK]]*Tabell19[[#This Row],[QTY]]</f>
        <v>0</v>
      </c>
      <c r="J122" s="142">
        <f>Tabell19[[#This Row],[EURO]]*Tabell19[[#This Row],[QTY]]</f>
        <v>0</v>
      </c>
      <c r="K122" s="141">
        <v>11001016</v>
      </c>
    </row>
    <row r="123" spans="1:11" outlineLevel="1" x14ac:dyDescent="0.25">
      <c r="A123" s="117">
        <v>69</v>
      </c>
      <c r="B123" s="158">
        <v>5555</v>
      </c>
      <c r="C123" s="104" t="s">
        <v>128</v>
      </c>
      <c r="D123" s="81"/>
      <c r="E123" s="105" t="s">
        <v>26</v>
      </c>
      <c r="F123" s="105">
        <v>1</v>
      </c>
      <c r="G123" s="111">
        <v>114.9</v>
      </c>
      <c r="H123" s="106">
        <f t="shared" si="4"/>
        <v>9.7665000000000006</v>
      </c>
      <c r="I123" s="107">
        <f>Tabell19[[#This Row],[NOK]]*Tabell19[[#This Row],[QTY]]</f>
        <v>0</v>
      </c>
      <c r="J123" s="142">
        <f>Tabell19[[#This Row],[EURO]]*Tabell19[[#This Row],[QTY]]</f>
        <v>0</v>
      </c>
      <c r="K123" s="141">
        <v>11001019</v>
      </c>
    </row>
    <row r="124" spans="1:11" outlineLevel="1" x14ac:dyDescent="0.25">
      <c r="A124" s="118">
        <v>70</v>
      </c>
      <c r="B124" s="158">
        <v>2000606700000</v>
      </c>
      <c r="C124" s="104" t="s">
        <v>129</v>
      </c>
      <c r="D124" s="81"/>
      <c r="E124" s="108" t="s">
        <v>24</v>
      </c>
      <c r="F124" s="105">
        <v>8</v>
      </c>
      <c r="G124" s="111">
        <v>27.9</v>
      </c>
      <c r="H124" s="106">
        <f t="shared" si="4"/>
        <v>2.3715000000000002</v>
      </c>
      <c r="I124" s="107">
        <f>Tabell19[[#This Row],[NOK]]*Tabell19[[#This Row],[QTY]]</f>
        <v>0</v>
      </c>
      <c r="J124" s="142">
        <f>Tabell19[[#This Row],[EURO]]*Tabell19[[#This Row],[QTY]]</f>
        <v>0</v>
      </c>
      <c r="K124" s="141"/>
    </row>
    <row r="125" spans="1:11" outlineLevel="1" x14ac:dyDescent="0.25">
      <c r="A125" s="117">
        <v>71</v>
      </c>
      <c r="B125" s="158">
        <v>2000606900000</v>
      </c>
      <c r="C125" s="104" t="s">
        <v>130</v>
      </c>
      <c r="D125" s="81"/>
      <c r="E125" s="105" t="s">
        <v>24</v>
      </c>
      <c r="F125" s="105">
        <v>7</v>
      </c>
      <c r="G125" s="111">
        <v>28.9</v>
      </c>
      <c r="H125" s="106">
        <f t="shared" si="4"/>
        <v>2.4565000000000001</v>
      </c>
      <c r="I125" s="107">
        <f>Tabell19[[#This Row],[NOK]]*Tabell19[[#This Row],[QTY]]</f>
        <v>0</v>
      </c>
      <c r="J125" s="142">
        <f>Tabell19[[#This Row],[EURO]]*Tabell19[[#This Row],[QTY]]</f>
        <v>0</v>
      </c>
      <c r="K125" s="141"/>
    </row>
    <row r="126" spans="1:11" outlineLevel="1" x14ac:dyDescent="0.25">
      <c r="A126" s="118">
        <v>72</v>
      </c>
      <c r="B126" s="158">
        <v>2000611200000</v>
      </c>
      <c r="C126" s="104" t="s">
        <v>131</v>
      </c>
      <c r="D126" s="81"/>
      <c r="E126" s="105" t="s">
        <v>24</v>
      </c>
      <c r="F126" s="105">
        <v>12</v>
      </c>
      <c r="G126" s="111">
        <v>28.9</v>
      </c>
      <c r="H126" s="106">
        <f t="shared" si="4"/>
        <v>2.4565000000000001</v>
      </c>
      <c r="I126" s="107">
        <f>Tabell19[[#This Row],[NOK]]*Tabell19[[#This Row],[QTY]]</f>
        <v>0</v>
      </c>
      <c r="J126" s="142">
        <f>Tabell19[[#This Row],[EURO]]*Tabell19[[#This Row],[QTY]]</f>
        <v>0</v>
      </c>
      <c r="K126" s="141">
        <v>11001072</v>
      </c>
    </row>
    <row r="127" spans="1:11" outlineLevel="1" x14ac:dyDescent="0.25">
      <c r="A127" s="117">
        <v>73</v>
      </c>
      <c r="B127" s="158">
        <v>2000606300000</v>
      </c>
      <c r="C127" s="104" t="s">
        <v>132</v>
      </c>
      <c r="D127" s="81"/>
      <c r="E127" s="105" t="s">
        <v>24</v>
      </c>
      <c r="F127" s="105">
        <v>7</v>
      </c>
      <c r="G127" s="111">
        <v>28.9</v>
      </c>
      <c r="H127" s="106">
        <f t="shared" si="4"/>
        <v>2.4565000000000001</v>
      </c>
      <c r="I127" s="107">
        <f>Tabell19[[#This Row],[NOK]]*Tabell19[[#This Row],[QTY]]</f>
        <v>0</v>
      </c>
      <c r="J127" s="142">
        <f>Tabell19[[#This Row],[EURO]]*Tabell19[[#This Row],[QTY]]</f>
        <v>0</v>
      </c>
      <c r="K127" s="141"/>
    </row>
    <row r="128" spans="1:11" outlineLevel="1" x14ac:dyDescent="0.25">
      <c r="A128" s="118">
        <v>74</v>
      </c>
      <c r="B128" s="158">
        <v>2000606500000</v>
      </c>
      <c r="C128" s="104" t="s">
        <v>133</v>
      </c>
      <c r="D128" s="81"/>
      <c r="E128" s="105" t="s">
        <v>24</v>
      </c>
      <c r="F128" s="105">
        <v>7</v>
      </c>
      <c r="G128" s="111">
        <v>28.9</v>
      </c>
      <c r="H128" s="106">
        <f t="shared" si="4"/>
        <v>2.4565000000000001</v>
      </c>
      <c r="I128" s="107">
        <f>Tabell19[[#This Row],[NOK]]*Tabell19[[#This Row],[QTY]]</f>
        <v>0</v>
      </c>
      <c r="J128" s="142">
        <f>Tabell19[[#This Row],[EURO]]*Tabell19[[#This Row],[QTY]]</f>
        <v>0</v>
      </c>
      <c r="K128" s="141"/>
    </row>
    <row r="129" spans="1:11" outlineLevel="1" x14ac:dyDescent="0.25">
      <c r="A129" s="117">
        <v>75</v>
      </c>
      <c r="B129" s="158">
        <v>5520</v>
      </c>
      <c r="C129" s="104" t="s">
        <v>134</v>
      </c>
      <c r="D129" s="81"/>
      <c r="E129" s="108" t="s">
        <v>24</v>
      </c>
      <c r="F129" s="105">
        <v>11</v>
      </c>
      <c r="G129" s="111">
        <v>28.9</v>
      </c>
      <c r="H129" s="106">
        <f t="shared" si="4"/>
        <v>2.4565000000000001</v>
      </c>
      <c r="I129" s="107">
        <f>Tabell19[[#This Row],[NOK]]*Tabell19[[#This Row],[QTY]]</f>
        <v>0</v>
      </c>
      <c r="J129" s="142">
        <f>Tabell19[[#This Row],[EURO]]*Tabell19[[#This Row],[QTY]]</f>
        <v>0</v>
      </c>
      <c r="K129" s="141">
        <v>11001060</v>
      </c>
    </row>
    <row r="130" spans="1:11" outlineLevel="1" x14ac:dyDescent="0.25">
      <c r="A130" s="118">
        <v>76</v>
      </c>
      <c r="B130" s="158">
        <v>2000595700000</v>
      </c>
      <c r="C130" s="104" t="s">
        <v>135</v>
      </c>
      <c r="D130" s="81"/>
      <c r="E130" s="108" t="s">
        <v>24</v>
      </c>
      <c r="F130" s="105">
        <v>11</v>
      </c>
      <c r="G130" s="111">
        <v>39.9</v>
      </c>
      <c r="H130" s="106">
        <f t="shared" si="4"/>
        <v>3.3915000000000002</v>
      </c>
      <c r="I130" s="107">
        <f>Tabell19[[#This Row],[NOK]]*Tabell19[[#This Row],[QTY]]</f>
        <v>0</v>
      </c>
      <c r="J130" s="142">
        <f>Tabell19[[#This Row],[EURO]]*Tabell19[[#This Row],[QTY]]</f>
        <v>0</v>
      </c>
      <c r="K130" s="141">
        <v>11001068</v>
      </c>
    </row>
    <row r="131" spans="1:11" outlineLevel="1" x14ac:dyDescent="0.25">
      <c r="A131" s="117">
        <v>77</v>
      </c>
      <c r="B131" s="158">
        <v>2000604200000</v>
      </c>
      <c r="C131" s="104" t="s">
        <v>136</v>
      </c>
      <c r="D131" s="81"/>
      <c r="E131" s="108" t="s">
        <v>24</v>
      </c>
      <c r="F131" s="105">
        <v>6</v>
      </c>
      <c r="G131" s="111">
        <v>46.9</v>
      </c>
      <c r="H131" s="106">
        <f t="shared" si="4"/>
        <v>3.9865000000000004</v>
      </c>
      <c r="I131" s="107">
        <f>Tabell19[[#This Row],[NOK]]*Tabell19[[#This Row],[QTY]]</f>
        <v>0</v>
      </c>
      <c r="J131" s="142">
        <f>Tabell19[[#This Row],[EURO]]*Tabell19[[#This Row],[QTY]]</f>
        <v>0</v>
      </c>
      <c r="K131" s="141"/>
    </row>
    <row r="132" spans="1:11" outlineLevel="1" x14ac:dyDescent="0.25">
      <c r="A132" s="118">
        <v>78</v>
      </c>
      <c r="B132" s="158">
        <v>2000515100000</v>
      </c>
      <c r="C132" s="104" t="s">
        <v>137</v>
      </c>
      <c r="D132" s="81"/>
      <c r="E132" s="108" t="s">
        <v>24</v>
      </c>
      <c r="F132" s="105">
        <v>13</v>
      </c>
      <c r="G132" s="111">
        <v>36.9</v>
      </c>
      <c r="H132" s="106">
        <f t="shared" si="4"/>
        <v>3.1365000000000003</v>
      </c>
      <c r="I132" s="107">
        <f>Tabell19[[#This Row],[NOK]]*Tabell19[[#This Row],[QTY]]</f>
        <v>0</v>
      </c>
      <c r="J132" s="142">
        <f>Tabell19[[#This Row],[EURO]]*Tabell19[[#This Row],[QTY]]</f>
        <v>0</v>
      </c>
      <c r="K132" s="141">
        <v>12049512</v>
      </c>
    </row>
    <row r="133" spans="1:11" outlineLevel="1" x14ac:dyDescent="0.25">
      <c r="A133" s="117">
        <v>79</v>
      </c>
      <c r="B133" s="158">
        <v>5694</v>
      </c>
      <c r="C133" s="104" t="s">
        <v>138</v>
      </c>
      <c r="D133" s="81"/>
      <c r="E133" s="108" t="s">
        <v>26</v>
      </c>
      <c r="F133" s="105">
        <v>6</v>
      </c>
      <c r="G133" s="111">
        <v>39.9</v>
      </c>
      <c r="H133" s="106">
        <f t="shared" si="4"/>
        <v>3.3915000000000002</v>
      </c>
      <c r="I133" s="107">
        <f>Tabell19[[#This Row],[NOK]]*Tabell19[[#This Row],[QTY]]</f>
        <v>0</v>
      </c>
      <c r="J133" s="142">
        <f>Tabell19[[#This Row],[EURO]]*Tabell19[[#This Row],[QTY]]</f>
        <v>0</v>
      </c>
      <c r="K133" s="141">
        <v>11000991</v>
      </c>
    </row>
    <row r="134" spans="1:11" outlineLevel="1" x14ac:dyDescent="0.25">
      <c r="A134" s="118">
        <v>80</v>
      </c>
      <c r="B134" s="158">
        <v>5502</v>
      </c>
      <c r="C134" s="104" t="s">
        <v>139</v>
      </c>
      <c r="D134" s="81"/>
      <c r="E134" s="108" t="s">
        <v>26</v>
      </c>
      <c r="F134" s="105">
        <v>7</v>
      </c>
      <c r="G134" s="111">
        <v>71.900000000000006</v>
      </c>
      <c r="H134" s="106">
        <f t="shared" si="4"/>
        <v>6.1115000000000013</v>
      </c>
      <c r="I134" s="107">
        <f>Tabell19[[#This Row],[NOK]]*Tabell19[[#This Row],[QTY]]</f>
        <v>0</v>
      </c>
      <c r="J134" s="142">
        <f>Tabell19[[#This Row],[EURO]]*Tabell19[[#This Row],[QTY]]</f>
        <v>0</v>
      </c>
      <c r="K134" s="141">
        <v>11001024</v>
      </c>
    </row>
    <row r="135" spans="1:11" outlineLevel="1" x14ac:dyDescent="0.25">
      <c r="A135" s="117">
        <v>81</v>
      </c>
      <c r="B135" s="158">
        <v>2000550400000</v>
      </c>
      <c r="C135" s="104" t="s">
        <v>140</v>
      </c>
      <c r="D135" s="81"/>
      <c r="E135" s="105" t="s">
        <v>24</v>
      </c>
      <c r="F135" s="105">
        <v>9</v>
      </c>
      <c r="G135" s="111">
        <v>33.9</v>
      </c>
      <c r="H135" s="106">
        <f t="shared" si="4"/>
        <v>2.8815</v>
      </c>
      <c r="I135" s="107">
        <f>Tabell19[[#This Row],[NOK]]*Tabell19[[#This Row],[QTY]]</f>
        <v>0</v>
      </c>
      <c r="J135" s="142">
        <f>Tabell19[[#This Row],[EURO]]*Tabell19[[#This Row],[QTY]]</f>
        <v>0</v>
      </c>
      <c r="K135" s="141">
        <v>11001025</v>
      </c>
    </row>
    <row r="136" spans="1:11" outlineLevel="1" x14ac:dyDescent="0.25">
      <c r="A136" s="118">
        <v>82</v>
      </c>
      <c r="B136" s="158">
        <v>2000522600000</v>
      </c>
      <c r="C136" s="104" t="s">
        <v>141</v>
      </c>
      <c r="D136" s="81"/>
      <c r="E136" s="105" t="s">
        <v>24</v>
      </c>
      <c r="F136" s="105">
        <v>11</v>
      </c>
      <c r="G136" s="111">
        <v>45.9</v>
      </c>
      <c r="H136" s="106">
        <f t="shared" si="4"/>
        <v>3.9015</v>
      </c>
      <c r="I136" s="107">
        <f>Tabell19[[#This Row],[NOK]]*Tabell19[[#This Row],[QTY]]</f>
        <v>0</v>
      </c>
      <c r="J136" s="142">
        <f>Tabell19[[#This Row],[EURO]]*Tabell19[[#This Row],[QTY]]</f>
        <v>0</v>
      </c>
      <c r="K136" s="141"/>
    </row>
    <row r="137" spans="1:11" outlineLevel="1" x14ac:dyDescent="0.25">
      <c r="A137" s="117">
        <v>83</v>
      </c>
      <c r="B137" s="158">
        <v>5500</v>
      </c>
      <c r="C137" s="104" t="s">
        <v>142</v>
      </c>
      <c r="D137" s="81"/>
      <c r="E137" s="105" t="s">
        <v>26</v>
      </c>
      <c r="F137" s="105">
        <v>6</v>
      </c>
      <c r="G137" s="111">
        <v>55.9</v>
      </c>
      <c r="H137" s="106">
        <f t="shared" si="4"/>
        <v>4.7515000000000001</v>
      </c>
      <c r="I137" s="107">
        <f>Tabell19[[#This Row],[NOK]]*Tabell19[[#This Row],[QTY]]</f>
        <v>0</v>
      </c>
      <c r="J137" s="142">
        <f>Tabell19[[#This Row],[EURO]]*Tabell19[[#This Row],[QTY]]</f>
        <v>0</v>
      </c>
      <c r="K137" s="141">
        <v>11001023</v>
      </c>
    </row>
    <row r="138" spans="1:11" outlineLevel="1" x14ac:dyDescent="0.25">
      <c r="A138" s="118">
        <v>84</v>
      </c>
      <c r="B138" s="158">
        <v>2000603300000</v>
      </c>
      <c r="C138" s="104" t="s">
        <v>143</v>
      </c>
      <c r="D138" s="81"/>
      <c r="E138" s="105" t="s">
        <v>24</v>
      </c>
      <c r="F138" s="105">
        <v>10</v>
      </c>
      <c r="G138" s="111">
        <v>39.9</v>
      </c>
      <c r="H138" s="106">
        <f t="shared" si="4"/>
        <v>3.3915000000000002</v>
      </c>
      <c r="I138" s="107">
        <f>Tabell19[[#This Row],[NOK]]*Tabell19[[#This Row],[QTY]]</f>
        <v>0</v>
      </c>
      <c r="J138" s="142">
        <f>Tabell19[[#This Row],[EURO]]*Tabell19[[#This Row],[QTY]]</f>
        <v>0</v>
      </c>
      <c r="K138" s="141">
        <v>11887466</v>
      </c>
    </row>
    <row r="139" spans="1:11" outlineLevel="1" x14ac:dyDescent="0.25">
      <c r="A139" s="117">
        <v>85</v>
      </c>
      <c r="B139" s="158">
        <v>2000521500000</v>
      </c>
      <c r="C139" s="104" t="s">
        <v>144</v>
      </c>
      <c r="D139" s="81"/>
      <c r="E139" s="105" t="s">
        <v>24</v>
      </c>
      <c r="F139" s="105">
        <v>12</v>
      </c>
      <c r="G139" s="111">
        <v>34.9</v>
      </c>
      <c r="H139" s="106">
        <f t="shared" si="4"/>
        <v>2.9664999999999999</v>
      </c>
      <c r="I139" s="107">
        <f>Tabell19[[#This Row],[NOK]]*Tabell19[[#This Row],[QTY]]</f>
        <v>0</v>
      </c>
      <c r="J139" s="142">
        <f>Tabell19[[#This Row],[EURO]]*Tabell19[[#This Row],[QTY]]</f>
        <v>0</v>
      </c>
      <c r="K139" s="141"/>
    </row>
    <row r="140" spans="1:11" outlineLevel="1" x14ac:dyDescent="0.25">
      <c r="A140" s="118">
        <v>86</v>
      </c>
      <c r="B140" s="158">
        <v>2000562000000</v>
      </c>
      <c r="C140" s="104" t="s">
        <v>145</v>
      </c>
      <c r="D140" s="190"/>
      <c r="E140" s="105" t="s">
        <v>24</v>
      </c>
      <c r="F140" s="105">
        <v>13</v>
      </c>
      <c r="G140" s="111">
        <v>34.9</v>
      </c>
      <c r="H140" s="106">
        <f t="shared" ref="H140" si="5">G140*$N$1</f>
        <v>2.9664999999999999</v>
      </c>
      <c r="I140" s="107">
        <f>Tabell19[[#This Row],[NOK]]*Tabell19[[#This Row],[QTY]]</f>
        <v>0</v>
      </c>
      <c r="J140" s="142">
        <f>Tabell19[[#This Row],[EURO]]*Tabell19[[#This Row],[QTY]]</f>
        <v>0</v>
      </c>
      <c r="K140" s="141">
        <v>12049530</v>
      </c>
    </row>
    <row r="141" spans="1:11" hidden="1" outlineLevel="1" x14ac:dyDescent="0.25">
      <c r="A141" s="118">
        <v>87</v>
      </c>
      <c r="B141" s="158"/>
      <c r="C141" s="121" t="s">
        <v>61</v>
      </c>
      <c r="D141" s="81"/>
      <c r="E141" s="105"/>
      <c r="F141" s="105"/>
      <c r="G141" s="111"/>
      <c r="H141" s="106">
        <f t="shared" ref="H141" si="6">G141*$N$1</f>
        <v>0</v>
      </c>
      <c r="I141" s="107">
        <f>Tabell19[[#This Row],[NOK]]*Tabell19[[#This Row],[QTY]]</f>
        <v>0</v>
      </c>
      <c r="J141" s="107">
        <f>Tabell19[[#This Row],[EURO]]*Tabell19[[#This Row],[QTY]]</f>
        <v>0</v>
      </c>
      <c r="K141" s="174"/>
    </row>
    <row r="142" spans="1:11" hidden="1" outlineLevel="1" x14ac:dyDescent="0.25">
      <c r="A142" s="118">
        <v>88</v>
      </c>
      <c r="B142" s="158"/>
      <c r="C142" s="121" t="s">
        <v>61</v>
      </c>
      <c r="D142" s="81"/>
      <c r="E142" s="105"/>
      <c r="F142" s="105"/>
      <c r="G142" s="111"/>
      <c r="H142" s="106">
        <f>G142*$N$1</f>
        <v>0</v>
      </c>
      <c r="I142" s="107">
        <f>Tabell19[[#This Row],[NOK]]*Tabell19[[#This Row],[QTY]]</f>
        <v>0</v>
      </c>
      <c r="J142" s="107">
        <f>Tabell19[[#This Row],[EURO]]*Tabell19[[#This Row],[QTY]]</f>
        <v>0</v>
      </c>
      <c r="K142" s="174"/>
    </row>
    <row r="143" spans="1:11" hidden="1" outlineLevel="1" x14ac:dyDescent="0.25">
      <c r="A143" s="118">
        <v>89</v>
      </c>
      <c r="B143" s="158"/>
      <c r="C143" s="121" t="s">
        <v>61</v>
      </c>
      <c r="D143" s="81"/>
      <c r="E143" s="105"/>
      <c r="F143" s="105"/>
      <c r="G143" s="111"/>
      <c r="H143" s="106">
        <f>G143*$N$1</f>
        <v>0</v>
      </c>
      <c r="I143" s="107">
        <f>Tabell19[[#This Row],[NOK]]*Tabell19[[#This Row],[QTY]]</f>
        <v>0</v>
      </c>
      <c r="J143" s="107">
        <f>Tabell19[[#This Row],[EURO]]*Tabell19[[#This Row],[QTY]]</f>
        <v>0</v>
      </c>
      <c r="K143" s="174"/>
    </row>
    <row r="144" spans="1:11" hidden="1" outlineLevel="1" x14ac:dyDescent="0.25">
      <c r="A144" s="118">
        <v>90</v>
      </c>
      <c r="B144" s="158"/>
      <c r="C144" s="121" t="s">
        <v>61</v>
      </c>
      <c r="D144" s="81"/>
      <c r="E144" s="105"/>
      <c r="F144" s="105"/>
      <c r="G144" s="111"/>
      <c r="H144" s="106">
        <f>G144*$N$1</f>
        <v>0</v>
      </c>
      <c r="I144" s="107">
        <f>Tabell19[[#This Row],[NOK]]*Tabell19[[#This Row],[QTY]]</f>
        <v>0</v>
      </c>
      <c r="J144" s="107">
        <f>Tabell19[[#This Row],[EURO]]*Tabell19[[#This Row],[QTY]]</f>
        <v>0</v>
      </c>
      <c r="K144" s="174"/>
    </row>
    <row r="145" spans="1:11" hidden="1" outlineLevel="1" x14ac:dyDescent="0.25">
      <c r="A145" s="118">
        <v>91</v>
      </c>
      <c r="B145" s="158"/>
      <c r="C145" s="104" t="s">
        <v>61</v>
      </c>
      <c r="D145" s="87"/>
      <c r="E145" s="105"/>
      <c r="F145" s="105"/>
      <c r="G145" s="111"/>
      <c r="H145" s="106">
        <f>G145*$N$1</f>
        <v>0</v>
      </c>
      <c r="I145" s="107">
        <f>Tabell19[[#This Row],[NOK]]*Tabell19[[#This Row],[QTY]]</f>
        <v>0</v>
      </c>
      <c r="J145" s="107">
        <f>Tabell19[[#This Row],[EURO]]*Tabell19[[#This Row],[QTY]]</f>
        <v>0</v>
      </c>
      <c r="K145" s="141"/>
    </row>
    <row r="146" spans="1:11" hidden="1" x14ac:dyDescent="0.25"/>
    <row r="147" spans="1:11" x14ac:dyDescent="0.25">
      <c r="A147" s="88"/>
      <c r="I147" s="188">
        <f>SUM(I62:I146)</f>
        <v>0</v>
      </c>
      <c r="J147" s="188">
        <f>SUM(J62:J146)</f>
        <v>0</v>
      </c>
    </row>
    <row r="148" spans="1:11" ht="18.75" x14ac:dyDescent="0.3">
      <c r="A148" s="194" t="s">
        <v>146</v>
      </c>
      <c r="B148" s="194"/>
      <c r="C148" s="194"/>
      <c r="D148" s="194"/>
      <c r="E148" s="194"/>
      <c r="F148" s="194"/>
      <c r="G148" s="194"/>
      <c r="H148" s="194"/>
      <c r="I148" s="194"/>
      <c r="J148" s="194"/>
    </row>
    <row r="149" spans="1:11" x14ac:dyDescent="0.25">
      <c r="A149" s="89" t="s">
        <v>6</v>
      </c>
      <c r="B149" s="89" t="s">
        <v>7</v>
      </c>
      <c r="C149" s="89" t="s">
        <v>8</v>
      </c>
      <c r="D149" s="89" t="s">
        <v>16</v>
      </c>
      <c r="E149" s="140" t="s">
        <v>10</v>
      </c>
      <c r="F149" s="140" t="s">
        <v>17</v>
      </c>
      <c r="G149" s="140" t="s">
        <v>18</v>
      </c>
      <c r="H149" s="140" t="s">
        <v>19</v>
      </c>
      <c r="I149" s="140" t="s">
        <v>20</v>
      </c>
      <c r="J149" s="140" t="s">
        <v>21</v>
      </c>
      <c r="K149" s="144" t="s">
        <v>22</v>
      </c>
    </row>
    <row r="150" spans="1:11" outlineLevel="1" x14ac:dyDescent="0.25">
      <c r="A150" s="119">
        <v>1</v>
      </c>
      <c r="B150" s="120"/>
      <c r="C150" s="121" t="s">
        <v>147</v>
      </c>
      <c r="D150" s="91"/>
      <c r="E150" s="105" t="s">
        <v>24</v>
      </c>
      <c r="F150" s="105">
        <v>10</v>
      </c>
      <c r="G150" s="111">
        <v>29.9</v>
      </c>
      <c r="H150" s="106">
        <f t="shared" ref="H150:H176" si="7">G150*$N$1</f>
        <v>2.5415000000000001</v>
      </c>
      <c r="I150" s="107">
        <f>Tabell2[[#This Row],[NOK]]*Tabell2[[#This Row],[QTY]]</f>
        <v>0</v>
      </c>
      <c r="J150" s="107">
        <f>Tabell2[[#This Row],[EURO]]*Tabell2[[#This Row],[QTY]]</f>
        <v>0</v>
      </c>
      <c r="K150" s="141">
        <v>12049396</v>
      </c>
    </row>
    <row r="151" spans="1:11" outlineLevel="1" x14ac:dyDescent="0.25">
      <c r="A151" s="119">
        <v>2</v>
      </c>
      <c r="B151" s="120"/>
      <c r="C151" s="121" t="s">
        <v>148</v>
      </c>
      <c r="D151" s="91"/>
      <c r="E151" s="105" t="s">
        <v>24</v>
      </c>
      <c r="F151" s="105">
        <v>10</v>
      </c>
      <c r="G151" s="111">
        <v>29.9</v>
      </c>
      <c r="H151" s="106">
        <f t="shared" si="7"/>
        <v>2.5415000000000001</v>
      </c>
      <c r="I151" s="107">
        <f>Tabell2[[#This Row],[NOK]]*Tabell2[[#This Row],[QTY]]</f>
        <v>0</v>
      </c>
      <c r="J151" s="107">
        <f>Tabell2[[#This Row],[EURO]]*Tabell2[[#This Row],[QTY]]</f>
        <v>0</v>
      </c>
      <c r="K151" s="141">
        <v>11001085</v>
      </c>
    </row>
    <row r="152" spans="1:11" outlineLevel="1" x14ac:dyDescent="0.25">
      <c r="A152" s="119">
        <v>3</v>
      </c>
      <c r="B152" s="120"/>
      <c r="C152" s="121" t="s">
        <v>149</v>
      </c>
      <c r="D152" s="91"/>
      <c r="E152" s="105" t="s">
        <v>24</v>
      </c>
      <c r="F152" s="105">
        <v>10</v>
      </c>
      <c r="G152" s="111">
        <v>29.9</v>
      </c>
      <c r="H152" s="106">
        <f t="shared" si="7"/>
        <v>2.5415000000000001</v>
      </c>
      <c r="I152" s="107">
        <f>Tabell2[[#This Row],[NOK]]*Tabell2[[#This Row],[QTY]]</f>
        <v>0</v>
      </c>
      <c r="J152" s="107">
        <f>Tabell2[[#This Row],[EURO]]*Tabell2[[#This Row],[QTY]]</f>
        <v>0</v>
      </c>
      <c r="K152" s="141">
        <v>11001075</v>
      </c>
    </row>
    <row r="153" spans="1:11" outlineLevel="1" x14ac:dyDescent="0.25">
      <c r="A153" s="119">
        <v>4</v>
      </c>
      <c r="B153" s="120"/>
      <c r="C153" s="121" t="s">
        <v>150</v>
      </c>
      <c r="D153" s="91"/>
      <c r="E153" s="105" t="s">
        <v>24</v>
      </c>
      <c r="F153" s="105">
        <v>10</v>
      </c>
      <c r="G153" s="111">
        <v>29.9</v>
      </c>
      <c r="H153" s="106">
        <f t="shared" si="7"/>
        <v>2.5415000000000001</v>
      </c>
      <c r="I153" s="107">
        <f>Tabell2[[#This Row],[NOK]]*Tabell2[[#This Row],[QTY]]</f>
        <v>0</v>
      </c>
      <c r="J153" s="107">
        <f>Tabell2[[#This Row],[EURO]]*Tabell2[[#This Row],[QTY]]</f>
        <v>0</v>
      </c>
      <c r="K153" s="141">
        <v>12357303</v>
      </c>
    </row>
    <row r="154" spans="1:11" outlineLevel="1" x14ac:dyDescent="0.25">
      <c r="A154" s="119">
        <v>5</v>
      </c>
      <c r="B154" s="120"/>
      <c r="C154" s="121" t="s">
        <v>151</v>
      </c>
      <c r="D154" s="91"/>
      <c r="E154" s="105" t="s">
        <v>24</v>
      </c>
      <c r="F154" s="105">
        <v>10</v>
      </c>
      <c r="G154" s="111">
        <v>29.9</v>
      </c>
      <c r="H154" s="106">
        <f t="shared" si="7"/>
        <v>2.5415000000000001</v>
      </c>
      <c r="I154" s="107">
        <f>Tabell2[[#This Row],[NOK]]*Tabell2[[#This Row],[QTY]]</f>
        <v>0</v>
      </c>
      <c r="J154" s="107">
        <f>Tabell2[[#This Row],[EURO]]*Tabell2[[#This Row],[QTY]]</f>
        <v>0</v>
      </c>
      <c r="K154" s="141">
        <v>11001076</v>
      </c>
    </row>
    <row r="155" spans="1:11" outlineLevel="1" x14ac:dyDescent="0.25">
      <c r="A155" s="119">
        <v>6</v>
      </c>
      <c r="B155" s="120"/>
      <c r="C155" s="121" t="s">
        <v>152</v>
      </c>
      <c r="D155" s="91"/>
      <c r="E155" s="105" t="s">
        <v>24</v>
      </c>
      <c r="F155" s="105">
        <v>10</v>
      </c>
      <c r="G155" s="111">
        <v>29.9</v>
      </c>
      <c r="H155" s="106">
        <f t="shared" si="7"/>
        <v>2.5415000000000001</v>
      </c>
      <c r="I155" s="107">
        <f>Tabell2[[#This Row],[NOK]]*Tabell2[[#This Row],[QTY]]</f>
        <v>0</v>
      </c>
      <c r="J155" s="107">
        <f>Tabell2[[#This Row],[EURO]]*Tabell2[[#This Row],[QTY]]</f>
        <v>0</v>
      </c>
      <c r="K155" s="141">
        <v>12390292</v>
      </c>
    </row>
    <row r="156" spans="1:11" outlineLevel="1" x14ac:dyDescent="0.25">
      <c r="A156" s="119">
        <v>7</v>
      </c>
      <c r="B156" s="120"/>
      <c r="C156" s="121" t="s">
        <v>153</v>
      </c>
      <c r="D156" s="91"/>
      <c r="E156" s="105" t="s">
        <v>24</v>
      </c>
      <c r="F156" s="105">
        <v>10</v>
      </c>
      <c r="G156" s="111">
        <v>29.9</v>
      </c>
      <c r="H156" s="106">
        <f t="shared" si="7"/>
        <v>2.5415000000000001</v>
      </c>
      <c r="I156" s="107">
        <f>Tabell2[[#This Row],[NOK]]*Tabell2[[#This Row],[QTY]]</f>
        <v>0</v>
      </c>
      <c r="J156" s="107">
        <f>Tabell2[[#This Row],[EURO]]*Tabell2[[#This Row],[QTY]]</f>
        <v>0</v>
      </c>
      <c r="K156" s="141">
        <v>12049524</v>
      </c>
    </row>
    <row r="157" spans="1:11" outlineLevel="1" x14ac:dyDescent="0.25">
      <c r="A157" s="119">
        <v>8</v>
      </c>
      <c r="B157" s="120"/>
      <c r="C157" s="121" t="s">
        <v>154</v>
      </c>
      <c r="D157" s="91"/>
      <c r="E157" s="105" t="s">
        <v>24</v>
      </c>
      <c r="F157" s="105">
        <v>10</v>
      </c>
      <c r="G157" s="111">
        <v>29.9</v>
      </c>
      <c r="H157" s="106">
        <f t="shared" si="7"/>
        <v>2.5415000000000001</v>
      </c>
      <c r="I157" s="107">
        <f>Tabell2[[#This Row],[NOK]]*Tabell2[[#This Row],[QTY]]</f>
        <v>0</v>
      </c>
      <c r="J157" s="107">
        <f>Tabell2[[#This Row],[EURO]]*Tabell2[[#This Row],[QTY]]</f>
        <v>0</v>
      </c>
      <c r="K157" s="141">
        <v>11001074</v>
      </c>
    </row>
    <row r="158" spans="1:11" outlineLevel="1" x14ac:dyDescent="0.25">
      <c r="A158" s="119">
        <v>9</v>
      </c>
      <c r="B158" s="120"/>
      <c r="C158" s="121" t="s">
        <v>155</v>
      </c>
      <c r="D158" s="91"/>
      <c r="E158" s="105" t="s">
        <v>24</v>
      </c>
      <c r="F158" s="105">
        <v>10</v>
      </c>
      <c r="G158" s="111">
        <v>29.9</v>
      </c>
      <c r="H158" s="106">
        <f t="shared" si="7"/>
        <v>2.5415000000000001</v>
      </c>
      <c r="I158" s="107">
        <f>Tabell2[[#This Row],[NOK]]*Tabell2[[#This Row],[QTY]]</f>
        <v>0</v>
      </c>
      <c r="J158" s="107">
        <f>Tabell2[[#This Row],[EURO]]*Tabell2[[#This Row],[QTY]]</f>
        <v>0</v>
      </c>
      <c r="K158" s="141">
        <v>11000908</v>
      </c>
    </row>
    <row r="159" spans="1:11" outlineLevel="1" x14ac:dyDescent="0.25">
      <c r="A159" s="119">
        <v>10</v>
      </c>
      <c r="B159" s="120"/>
      <c r="C159" s="121" t="s">
        <v>156</v>
      </c>
      <c r="D159" s="91"/>
      <c r="E159" s="105" t="s">
        <v>24</v>
      </c>
      <c r="F159" s="105">
        <v>10</v>
      </c>
      <c r="G159" s="111">
        <v>29.9</v>
      </c>
      <c r="H159" s="106">
        <f t="shared" si="7"/>
        <v>2.5415000000000001</v>
      </c>
      <c r="I159" s="107">
        <f>Tabell2[[#This Row],[NOK]]*Tabell2[[#This Row],[QTY]]</f>
        <v>0</v>
      </c>
      <c r="J159" s="107">
        <f>Tabell2[[#This Row],[EURO]]*Tabell2[[#This Row],[QTY]]</f>
        <v>0</v>
      </c>
      <c r="K159" s="141">
        <v>12357304</v>
      </c>
    </row>
    <row r="160" spans="1:11" outlineLevel="1" x14ac:dyDescent="0.25">
      <c r="A160" s="119">
        <v>11</v>
      </c>
      <c r="B160" s="120"/>
      <c r="C160" s="121" t="s">
        <v>157</v>
      </c>
      <c r="D160" s="91"/>
      <c r="E160" s="105" t="s">
        <v>24</v>
      </c>
      <c r="F160" s="105">
        <v>10</v>
      </c>
      <c r="G160" s="111">
        <v>29.9</v>
      </c>
      <c r="H160" s="106">
        <f t="shared" si="7"/>
        <v>2.5415000000000001</v>
      </c>
      <c r="I160" s="107">
        <f>Tabell2[[#This Row],[NOK]]*Tabell2[[#This Row],[QTY]]</f>
        <v>0</v>
      </c>
      <c r="J160" s="107">
        <f>Tabell2[[#This Row],[EURO]]*Tabell2[[#This Row],[QTY]]</f>
        <v>0</v>
      </c>
      <c r="K160" s="141">
        <v>12049526</v>
      </c>
    </row>
    <row r="161" spans="1:11" outlineLevel="1" x14ac:dyDescent="0.25">
      <c r="A161" s="119">
        <v>12</v>
      </c>
      <c r="B161" s="120"/>
      <c r="C161" s="121" t="s">
        <v>158</v>
      </c>
      <c r="D161" s="91"/>
      <c r="E161" s="105" t="s">
        <v>24</v>
      </c>
      <c r="F161" s="105">
        <v>10</v>
      </c>
      <c r="G161" s="111">
        <v>99.9</v>
      </c>
      <c r="H161" s="106">
        <f t="shared" si="7"/>
        <v>8.4915000000000003</v>
      </c>
      <c r="I161" s="107">
        <f>Tabell2[[#This Row],[NOK]]*Tabell2[[#This Row],[QTY]]</f>
        <v>0</v>
      </c>
      <c r="J161" s="107">
        <f>Tabell2[[#This Row],[EURO]]*Tabell2[[#This Row],[QTY]]</f>
        <v>0</v>
      </c>
      <c r="K161" s="141">
        <v>12357302</v>
      </c>
    </row>
    <row r="162" spans="1:11" outlineLevel="1" x14ac:dyDescent="0.25">
      <c r="A162" s="119">
        <v>13</v>
      </c>
      <c r="B162" s="120"/>
      <c r="C162" s="121" t="s">
        <v>159</v>
      </c>
      <c r="D162" s="91"/>
      <c r="E162" s="105" t="s">
        <v>24</v>
      </c>
      <c r="F162" s="105">
        <v>10</v>
      </c>
      <c r="G162" s="111">
        <v>29.9</v>
      </c>
      <c r="H162" s="106">
        <f t="shared" si="7"/>
        <v>2.5415000000000001</v>
      </c>
      <c r="I162" s="107">
        <f>Tabell2[[#This Row],[NOK]]*Tabell2[[#This Row],[QTY]]</f>
        <v>0</v>
      </c>
      <c r="J162" s="107">
        <f>Tabell2[[#This Row],[EURO]]*Tabell2[[#This Row],[QTY]]</f>
        <v>0</v>
      </c>
      <c r="K162" s="141">
        <v>11000907</v>
      </c>
    </row>
    <row r="163" spans="1:11" outlineLevel="1" x14ac:dyDescent="0.25">
      <c r="A163" s="119">
        <v>14</v>
      </c>
      <c r="B163" s="120"/>
      <c r="C163" s="121" t="s">
        <v>160</v>
      </c>
      <c r="D163" s="91"/>
      <c r="E163" s="105" t="s">
        <v>24</v>
      </c>
      <c r="F163" s="105">
        <v>10</v>
      </c>
      <c r="G163" s="111">
        <v>29.9</v>
      </c>
      <c r="H163" s="106">
        <f t="shared" si="7"/>
        <v>2.5415000000000001</v>
      </c>
      <c r="I163" s="107">
        <f>Tabell2[[#This Row],[NOK]]*Tabell2[[#This Row],[QTY]]</f>
        <v>0</v>
      </c>
      <c r="J163" s="107">
        <f>Tabell2[[#This Row],[EURO]]*Tabell2[[#This Row],[QTY]]</f>
        <v>0</v>
      </c>
      <c r="K163" s="141"/>
    </row>
    <row r="164" spans="1:11" outlineLevel="1" x14ac:dyDescent="0.25">
      <c r="A164" s="119">
        <v>15</v>
      </c>
      <c r="B164" s="120"/>
      <c r="C164" s="121" t="s">
        <v>161</v>
      </c>
      <c r="D164" s="91"/>
      <c r="E164" s="105" t="s">
        <v>24</v>
      </c>
      <c r="F164" s="105">
        <v>10</v>
      </c>
      <c r="G164" s="111">
        <v>29.9</v>
      </c>
      <c r="H164" s="106">
        <f t="shared" si="7"/>
        <v>2.5415000000000001</v>
      </c>
      <c r="I164" s="107">
        <f>Tabell2[[#This Row],[NOK]]*Tabell2[[#This Row],[QTY]]</f>
        <v>0</v>
      </c>
      <c r="J164" s="107">
        <f>Tabell2[[#This Row],[EURO]]*Tabell2[[#This Row],[QTY]]</f>
        <v>0</v>
      </c>
      <c r="K164" s="141">
        <v>12049529</v>
      </c>
    </row>
    <row r="165" spans="1:11" outlineLevel="1" x14ac:dyDescent="0.25">
      <c r="A165" s="119">
        <v>16</v>
      </c>
      <c r="B165" s="120"/>
      <c r="C165" s="121" t="s">
        <v>162</v>
      </c>
      <c r="D165" s="91"/>
      <c r="E165" s="105" t="s">
        <v>24</v>
      </c>
      <c r="F165" s="105">
        <v>10</v>
      </c>
      <c r="G165" s="111">
        <v>99</v>
      </c>
      <c r="H165" s="106">
        <f t="shared" si="7"/>
        <v>8.4150000000000009</v>
      </c>
      <c r="I165" s="107">
        <f>Tabell2[[#This Row],[NOK]]*Tabell2[[#This Row],[QTY]]</f>
        <v>0</v>
      </c>
      <c r="J165" s="107">
        <f>Tabell2[[#This Row],[EURO]]*Tabell2[[#This Row],[QTY]]</f>
        <v>0</v>
      </c>
      <c r="K165" s="141">
        <v>13863212</v>
      </c>
    </row>
    <row r="166" spans="1:11" outlineLevel="1" x14ac:dyDescent="0.25">
      <c r="A166" s="119">
        <v>17</v>
      </c>
      <c r="B166" s="120"/>
      <c r="C166" s="121" t="s">
        <v>163</v>
      </c>
      <c r="D166" s="91"/>
      <c r="E166" s="105" t="s">
        <v>24</v>
      </c>
      <c r="F166" s="105">
        <v>10</v>
      </c>
      <c r="G166" s="111">
        <v>39.9</v>
      </c>
      <c r="H166" s="106">
        <f t="shared" si="7"/>
        <v>3.3915000000000002</v>
      </c>
      <c r="I166" s="107">
        <f>Tabell2[[#This Row],[NOK]]*Tabell2[[#This Row],[QTY]]</f>
        <v>0</v>
      </c>
      <c r="J166" s="107">
        <f>Tabell2[[#This Row],[EURO]]*Tabell2[[#This Row],[QTY]]</f>
        <v>0</v>
      </c>
      <c r="K166" s="141">
        <v>12331182</v>
      </c>
    </row>
    <row r="167" spans="1:11" outlineLevel="1" x14ac:dyDescent="0.25">
      <c r="A167" s="119">
        <v>18</v>
      </c>
      <c r="B167" s="120"/>
      <c r="C167" s="121" t="s">
        <v>164</v>
      </c>
      <c r="D167" s="91"/>
      <c r="E167" s="105" t="s">
        <v>24</v>
      </c>
      <c r="F167" s="105">
        <v>12</v>
      </c>
      <c r="G167" s="111">
        <v>36.299999999999997</v>
      </c>
      <c r="H167" s="106">
        <f t="shared" si="7"/>
        <v>3.0855000000000001</v>
      </c>
      <c r="I167" s="107">
        <f>Tabell2[[#This Row],[NOK]]*Tabell2[[#This Row],[QTY]]</f>
        <v>0</v>
      </c>
      <c r="J167" s="107">
        <f>Tabell2[[#This Row],[EURO]]*Tabell2[[#This Row],[QTY]]</f>
        <v>0</v>
      </c>
      <c r="K167" s="141">
        <v>11887325</v>
      </c>
    </row>
    <row r="168" spans="1:11" outlineLevel="1" x14ac:dyDescent="0.25">
      <c r="A168" s="118">
        <v>60</v>
      </c>
      <c r="B168" s="158">
        <v>7025110117540</v>
      </c>
      <c r="C168" s="104" t="s">
        <v>119</v>
      </c>
      <c r="D168" s="81"/>
      <c r="E168" s="108" t="s">
        <v>24</v>
      </c>
      <c r="F168" s="105">
        <v>6</v>
      </c>
      <c r="G168" s="111">
        <v>38.450000000000003</v>
      </c>
      <c r="H168" s="106">
        <f t="shared" si="7"/>
        <v>3.2682500000000005</v>
      </c>
      <c r="I168" s="107">
        <f>Tabell2[[#This Row],[NOK]]*Tabell2[[#This Row],[QTY]]</f>
        <v>0</v>
      </c>
      <c r="J168" s="142">
        <f>Tabell2[[#This Row],[EURO]]*Tabell2[[#This Row],[QTY]]</f>
        <v>0</v>
      </c>
      <c r="K168" s="141">
        <v>12049413</v>
      </c>
    </row>
    <row r="169" spans="1:11" outlineLevel="1" x14ac:dyDescent="0.25">
      <c r="A169" s="117">
        <v>61</v>
      </c>
      <c r="B169" s="158">
        <v>2000505400000</v>
      </c>
      <c r="C169" s="104" t="s">
        <v>120</v>
      </c>
      <c r="D169" s="81"/>
      <c r="E169" s="108" t="s">
        <v>24</v>
      </c>
      <c r="F169" s="105">
        <v>7</v>
      </c>
      <c r="G169" s="111">
        <v>35.9</v>
      </c>
      <c r="H169" s="106">
        <f t="shared" si="7"/>
        <v>3.0514999999999999</v>
      </c>
      <c r="I169" s="107">
        <f>Tabell2[[#This Row],[NOK]]*Tabell2[[#This Row],[QTY]]</f>
        <v>0</v>
      </c>
      <c r="J169" s="142">
        <f>Tabell2[[#This Row],[EURO]]*Tabell2[[#This Row],[QTY]]</f>
        <v>0</v>
      </c>
      <c r="K169" s="141"/>
    </row>
    <row r="170" spans="1:11" outlineLevel="1" x14ac:dyDescent="0.25">
      <c r="A170" s="118">
        <v>62</v>
      </c>
      <c r="B170" s="158">
        <v>2000526400000</v>
      </c>
      <c r="C170" s="104" t="s">
        <v>121</v>
      </c>
      <c r="D170" s="81"/>
      <c r="E170" s="108" t="s">
        <v>24</v>
      </c>
      <c r="F170" s="105">
        <v>8</v>
      </c>
      <c r="G170" s="111">
        <v>37.9</v>
      </c>
      <c r="H170" s="106">
        <f t="shared" si="7"/>
        <v>3.2215000000000003</v>
      </c>
      <c r="I170" s="107">
        <f>Tabell2[[#This Row],[NOK]]*Tabell2[[#This Row],[QTY]]</f>
        <v>0</v>
      </c>
      <c r="J170" s="142">
        <f>Tabell2[[#This Row],[EURO]]*Tabell2[[#This Row],[QTY]]</f>
        <v>0</v>
      </c>
      <c r="K170" s="141">
        <v>11887473</v>
      </c>
    </row>
    <row r="171" spans="1:11" outlineLevel="1" x14ac:dyDescent="0.25">
      <c r="A171" s="117">
        <v>63</v>
      </c>
      <c r="B171" s="158">
        <v>2000554500000</v>
      </c>
      <c r="C171" s="104" t="s">
        <v>122</v>
      </c>
      <c r="D171" s="81"/>
      <c r="E171" s="105" t="s">
        <v>24</v>
      </c>
      <c r="F171" s="105">
        <v>8</v>
      </c>
      <c r="G171" s="111">
        <v>41.9</v>
      </c>
      <c r="H171" s="106">
        <f t="shared" si="7"/>
        <v>3.5615000000000001</v>
      </c>
      <c r="I171" s="107">
        <f>Tabell2[[#This Row],[NOK]]*Tabell2[[#This Row],[QTY]]</f>
        <v>0</v>
      </c>
      <c r="J171" s="142">
        <f>Tabell2[[#This Row],[EURO]]*Tabell2[[#This Row],[QTY]]</f>
        <v>0</v>
      </c>
      <c r="K171" s="141">
        <v>11001008</v>
      </c>
    </row>
    <row r="172" spans="1:11" outlineLevel="1" x14ac:dyDescent="0.25">
      <c r="A172" s="119">
        <v>21</v>
      </c>
      <c r="B172" s="120">
        <v>7048170007170</v>
      </c>
      <c r="C172" s="129" t="s">
        <v>430</v>
      </c>
      <c r="D172" s="91"/>
      <c r="E172" s="105" t="s">
        <v>24</v>
      </c>
      <c r="F172" s="105">
        <v>1</v>
      </c>
      <c r="G172" s="111">
        <v>36.9</v>
      </c>
      <c r="H172" s="106">
        <f t="shared" si="7"/>
        <v>3.1365000000000003</v>
      </c>
      <c r="I172" s="107">
        <f>Tabell2[[#This Row],[NOK]]*Tabell2[[#This Row],[QTY]]</f>
        <v>0</v>
      </c>
      <c r="J172" s="107">
        <f>Tabell2[[#This Row],[EURO]]*Tabell2[[#This Row],[QTY]]</f>
        <v>0</v>
      </c>
      <c r="K172" s="141"/>
    </row>
    <row r="173" spans="1:11" hidden="1" outlineLevel="1" x14ac:dyDescent="0.25">
      <c r="A173" s="119">
        <v>22</v>
      </c>
      <c r="B173" s="120"/>
      <c r="C173" s="175" t="s">
        <v>61</v>
      </c>
      <c r="D173" s="91"/>
      <c r="E173" s="105"/>
      <c r="F173" s="105"/>
      <c r="G173" s="111"/>
      <c r="H173" s="106">
        <f>G173*$N$1</f>
        <v>0</v>
      </c>
      <c r="I173" s="107">
        <f>Tabell2[[#This Row],[NOK]]*Tabell2[[#This Row],[QTY]]</f>
        <v>0</v>
      </c>
      <c r="J173" s="107">
        <f>Tabell2[[#This Row],[EURO]]*Tabell2[[#This Row],[QTY]]</f>
        <v>0</v>
      </c>
      <c r="K173" s="141"/>
    </row>
    <row r="174" spans="1:11" hidden="1" outlineLevel="1" x14ac:dyDescent="0.25">
      <c r="A174" s="119">
        <v>23</v>
      </c>
      <c r="B174" s="120"/>
      <c r="C174" s="175" t="s">
        <v>61</v>
      </c>
      <c r="D174" s="91"/>
      <c r="E174" s="105"/>
      <c r="F174" s="105"/>
      <c r="G174" s="111"/>
      <c r="H174" s="106">
        <f>G174*$N$1</f>
        <v>0</v>
      </c>
      <c r="I174" s="107">
        <f>Tabell2[[#This Row],[NOK]]*Tabell2[[#This Row],[QTY]]</f>
        <v>0</v>
      </c>
      <c r="J174" s="107">
        <f>Tabell2[[#This Row],[EURO]]*Tabell2[[#This Row],[QTY]]</f>
        <v>0</v>
      </c>
      <c r="K174" s="141"/>
    </row>
    <row r="175" spans="1:11" hidden="1" outlineLevel="1" x14ac:dyDescent="0.25">
      <c r="A175" s="119">
        <v>24</v>
      </c>
      <c r="B175" s="120"/>
      <c r="C175" s="175" t="s">
        <v>61</v>
      </c>
      <c r="D175" s="91"/>
      <c r="E175" s="105"/>
      <c r="F175" s="105"/>
      <c r="G175" s="111"/>
      <c r="H175" s="106">
        <f>G175*$N$1</f>
        <v>0</v>
      </c>
      <c r="I175" s="107">
        <f>Tabell2[[#This Row],[NOK]]*Tabell2[[#This Row],[QTY]]</f>
        <v>0</v>
      </c>
      <c r="J175" s="107">
        <f>Tabell2[[#This Row],[EURO]]*Tabell2[[#This Row],[QTY]]</f>
        <v>0</v>
      </c>
      <c r="K175" s="141"/>
    </row>
    <row r="176" spans="1:11" hidden="1" outlineLevel="1" x14ac:dyDescent="0.25">
      <c r="A176" s="119">
        <v>25</v>
      </c>
      <c r="B176" s="120"/>
      <c r="C176" s="129" t="s">
        <v>61</v>
      </c>
      <c r="D176" s="91"/>
      <c r="E176" s="105"/>
      <c r="F176" s="105"/>
      <c r="G176" s="111"/>
      <c r="H176" s="106">
        <f t="shared" si="7"/>
        <v>0</v>
      </c>
      <c r="I176" s="107">
        <f>Tabell2[[#This Row],[NOK]]*Tabell2[[#This Row],[QTY]]</f>
        <v>0</v>
      </c>
      <c r="J176" s="107">
        <f>Tabell2[[#This Row],[EURO]]*Tabell2[[#This Row],[QTY]]</f>
        <v>0</v>
      </c>
      <c r="K176" s="141"/>
    </row>
    <row r="177" spans="1:11" hidden="1" x14ac:dyDescent="0.25">
      <c r="F177" s="86"/>
      <c r="G177" s="86"/>
      <c r="H177" s="86"/>
    </row>
    <row r="178" spans="1:11" x14ac:dyDescent="0.25">
      <c r="F178" s="86"/>
      <c r="G178" s="86"/>
      <c r="H178" s="86"/>
      <c r="I178" s="188">
        <f>SUM(I150:I177)</f>
        <v>0</v>
      </c>
      <c r="J178" s="188">
        <f>SUM(J150:J177)</f>
        <v>0</v>
      </c>
    </row>
    <row r="179" spans="1:11" ht="18.75" x14ac:dyDescent="0.3">
      <c r="A179" s="194" t="s">
        <v>165</v>
      </c>
      <c r="B179" s="194"/>
      <c r="C179" s="194"/>
      <c r="D179" s="194"/>
      <c r="E179" s="194"/>
      <c r="F179" s="194"/>
      <c r="G179" s="194"/>
      <c r="H179" s="194"/>
      <c r="I179" s="194"/>
      <c r="J179" s="194"/>
    </row>
    <row r="180" spans="1:11" x14ac:dyDescent="0.25">
      <c r="A180" s="92" t="s">
        <v>6</v>
      </c>
      <c r="B180" s="92" t="s">
        <v>7</v>
      </c>
      <c r="C180" s="92" t="s">
        <v>8</v>
      </c>
      <c r="D180" s="92" t="s">
        <v>16</v>
      </c>
      <c r="E180" s="140" t="s">
        <v>10</v>
      </c>
      <c r="F180" s="140" t="s">
        <v>17</v>
      </c>
      <c r="G180" s="140" t="s">
        <v>18</v>
      </c>
      <c r="H180" s="140" t="s">
        <v>19</v>
      </c>
      <c r="I180" s="140" t="s">
        <v>20</v>
      </c>
      <c r="J180" s="140" t="s">
        <v>21</v>
      </c>
      <c r="K180" s="144" t="s">
        <v>22</v>
      </c>
    </row>
    <row r="181" spans="1:11" outlineLevel="1" x14ac:dyDescent="0.25">
      <c r="A181" s="118">
        <v>1</v>
      </c>
      <c r="B181" s="122">
        <v>8712275101574</v>
      </c>
      <c r="C181" s="121" t="s">
        <v>166</v>
      </c>
      <c r="D181" s="93"/>
      <c r="E181" s="105" t="s">
        <v>24</v>
      </c>
      <c r="F181" s="123">
        <v>12</v>
      </c>
      <c r="G181" s="106">
        <v>18.899999999999999</v>
      </c>
      <c r="H181" s="106">
        <f t="shared" ref="H181:H198" si="8">G181*$N$1</f>
        <v>1.6065</v>
      </c>
      <c r="I181" s="107">
        <f>Tabell3[[#This Row],[NOK]]*Tabell3[[#This Row],[QTY]]</f>
        <v>0</v>
      </c>
      <c r="J181" s="107">
        <f>Tabell3[[#This Row],[EURO]]*Tabell3[[#This Row],[QTY]]</f>
        <v>0</v>
      </c>
      <c r="K181" s="141">
        <v>10055</v>
      </c>
    </row>
    <row r="182" spans="1:11" outlineLevel="1" x14ac:dyDescent="0.25">
      <c r="A182" s="118">
        <v>2</v>
      </c>
      <c r="B182" s="122">
        <v>8712275101567</v>
      </c>
      <c r="C182" s="121" t="s">
        <v>167</v>
      </c>
      <c r="D182" s="93"/>
      <c r="E182" s="105" t="s">
        <v>24</v>
      </c>
      <c r="F182" s="123">
        <v>12</v>
      </c>
      <c r="G182" s="106">
        <v>18.899999999999999</v>
      </c>
      <c r="H182" s="106">
        <f t="shared" si="8"/>
        <v>1.6065</v>
      </c>
      <c r="I182" s="107">
        <f>Tabell3[[#This Row],[NOK]]*Tabell3[[#This Row],[QTY]]</f>
        <v>0</v>
      </c>
      <c r="J182" s="107">
        <f>Tabell3[[#This Row],[EURO]]*Tabell3[[#This Row],[QTY]]</f>
        <v>0</v>
      </c>
      <c r="K182" s="141">
        <v>10054</v>
      </c>
    </row>
    <row r="183" spans="1:11" outlineLevel="1" x14ac:dyDescent="0.25">
      <c r="A183" s="118">
        <v>3</v>
      </c>
      <c r="B183" s="122">
        <v>5413209990969</v>
      </c>
      <c r="C183" s="121" t="s">
        <v>168</v>
      </c>
      <c r="D183" s="93"/>
      <c r="E183" s="105" t="s">
        <v>24</v>
      </c>
      <c r="F183" s="123">
        <v>12</v>
      </c>
      <c r="G183" s="106">
        <v>66.900000000000006</v>
      </c>
      <c r="H183" s="106">
        <f t="shared" si="8"/>
        <v>5.6865000000000006</v>
      </c>
      <c r="I183" s="107">
        <f>Tabell3[[#This Row],[NOK]]*Tabell3[[#This Row],[QTY]]</f>
        <v>0</v>
      </c>
      <c r="J183" s="107">
        <f>Tabell3[[#This Row],[EURO]]*Tabell3[[#This Row],[QTY]]</f>
        <v>0</v>
      </c>
      <c r="K183" s="141">
        <v>10056</v>
      </c>
    </row>
    <row r="184" spans="1:11" outlineLevel="1" x14ac:dyDescent="0.25">
      <c r="A184" s="118">
        <v>4</v>
      </c>
      <c r="B184" s="122">
        <v>4045500011770</v>
      </c>
      <c r="C184" s="121" t="s">
        <v>169</v>
      </c>
      <c r="D184" s="93"/>
      <c r="E184" s="105" t="s">
        <v>24</v>
      </c>
      <c r="F184" s="123">
        <v>6</v>
      </c>
      <c r="G184" s="106">
        <v>49.9</v>
      </c>
      <c r="H184" s="106">
        <f t="shared" si="8"/>
        <v>4.2415000000000003</v>
      </c>
      <c r="I184" s="107">
        <f>Tabell3[[#This Row],[NOK]]*Tabell3[[#This Row],[QTY]]</f>
        <v>0</v>
      </c>
      <c r="J184" s="107">
        <f>Tabell3[[#This Row],[EURO]]*Tabell3[[#This Row],[QTY]]</f>
        <v>0</v>
      </c>
      <c r="K184" s="141">
        <v>10872</v>
      </c>
    </row>
    <row r="185" spans="1:11" outlineLevel="1" x14ac:dyDescent="0.25">
      <c r="A185" s="118">
        <v>5</v>
      </c>
      <c r="B185" s="122">
        <v>7038010002526</v>
      </c>
      <c r="C185" s="121" t="s">
        <v>170</v>
      </c>
      <c r="D185" s="93"/>
      <c r="E185" s="105" t="s">
        <v>24</v>
      </c>
      <c r="F185" s="123">
        <v>1</v>
      </c>
      <c r="G185" s="106">
        <v>394.8</v>
      </c>
      <c r="H185" s="106">
        <f t="shared" si="8"/>
        <v>33.558</v>
      </c>
      <c r="I185" s="107">
        <f>Tabell3[[#This Row],[NOK]]*Tabell3[[#This Row],[QTY]]</f>
        <v>0</v>
      </c>
      <c r="J185" s="107">
        <f>Tabell3[[#This Row],[EURO]]*Tabell3[[#This Row],[QTY]]</f>
        <v>0</v>
      </c>
      <c r="K185" s="141">
        <v>1402007</v>
      </c>
    </row>
    <row r="186" spans="1:11" outlineLevel="1" x14ac:dyDescent="0.25">
      <c r="A186" s="118">
        <v>12</v>
      </c>
      <c r="B186" s="122">
        <v>7392672104500</v>
      </c>
      <c r="C186" s="121" t="s">
        <v>171</v>
      </c>
      <c r="D186" s="93"/>
      <c r="E186" s="105" t="s">
        <v>24</v>
      </c>
      <c r="F186" s="123">
        <v>6</v>
      </c>
      <c r="G186" s="106">
        <v>65.900000000000006</v>
      </c>
      <c r="H186" s="106">
        <f t="shared" si="8"/>
        <v>5.6015000000000006</v>
      </c>
      <c r="I186" s="107">
        <f>Tabell3[[#This Row],[NOK]]*Tabell3[[#This Row],[QTY]]</f>
        <v>0</v>
      </c>
      <c r="J186" s="107">
        <f>Tabell3[[#This Row],[EURO]]*Tabell3[[#This Row],[QTY]]</f>
        <v>0</v>
      </c>
      <c r="K186" s="141">
        <v>1305762</v>
      </c>
    </row>
    <row r="187" spans="1:11" outlineLevel="1" x14ac:dyDescent="0.25">
      <c r="A187" s="118">
        <v>13</v>
      </c>
      <c r="B187" s="122">
        <v>7038010063879</v>
      </c>
      <c r="C187" s="121" t="s">
        <v>436</v>
      </c>
      <c r="D187" s="93"/>
      <c r="E187" s="105" t="s">
        <v>24</v>
      </c>
      <c r="F187" s="123">
        <v>6</v>
      </c>
      <c r="G187" s="106">
        <v>54.9</v>
      </c>
      <c r="H187" s="106">
        <f t="shared" si="8"/>
        <v>4.6665000000000001</v>
      </c>
      <c r="I187" s="107">
        <f>Tabell3[[#This Row],[NOK]]*Tabell3[[#This Row],[QTY]]</f>
        <v>0</v>
      </c>
      <c r="J187" s="107">
        <f>Tabell3[[#This Row],[EURO]]*Tabell3[[#This Row],[QTY]]</f>
        <v>0</v>
      </c>
      <c r="K187" s="141"/>
    </row>
    <row r="188" spans="1:11" outlineLevel="1" x14ac:dyDescent="0.25">
      <c r="A188" s="118">
        <v>14</v>
      </c>
      <c r="B188" s="122">
        <v>7038010063862</v>
      </c>
      <c r="C188" s="121" t="s">
        <v>437</v>
      </c>
      <c r="D188" s="93"/>
      <c r="E188" s="105" t="s">
        <v>24</v>
      </c>
      <c r="F188" s="123">
        <v>6</v>
      </c>
      <c r="G188" s="106">
        <v>54.9</v>
      </c>
      <c r="H188" s="106">
        <f t="shared" si="8"/>
        <v>4.6665000000000001</v>
      </c>
      <c r="I188" s="107">
        <f>Tabell3[[#This Row],[NOK]]*Tabell3[[#This Row],[QTY]]</f>
        <v>0</v>
      </c>
      <c r="J188" s="107">
        <f>Tabell3[[#This Row],[EURO]]*Tabell3[[#This Row],[QTY]]</f>
        <v>0</v>
      </c>
      <c r="K188" s="141"/>
    </row>
    <row r="189" spans="1:11" outlineLevel="1" x14ac:dyDescent="0.25">
      <c r="A189" s="118">
        <v>15</v>
      </c>
      <c r="B189" s="122">
        <v>7038010063886</v>
      </c>
      <c r="C189" s="121" t="s">
        <v>438</v>
      </c>
      <c r="D189" s="93"/>
      <c r="E189" s="105" t="s">
        <v>24</v>
      </c>
      <c r="F189" s="123">
        <v>6</v>
      </c>
      <c r="G189" s="106">
        <v>54.9</v>
      </c>
      <c r="H189" s="106">
        <f t="shared" si="8"/>
        <v>4.6665000000000001</v>
      </c>
      <c r="I189" s="107">
        <f>Tabell3[[#This Row],[NOK]]*Tabell3[[#This Row],[QTY]]</f>
        <v>0</v>
      </c>
      <c r="J189" s="107">
        <f>Tabell3[[#This Row],[EURO]]*Tabell3[[#This Row],[QTY]]</f>
        <v>0</v>
      </c>
      <c r="K189" s="141"/>
    </row>
    <row r="190" spans="1:11" outlineLevel="1" x14ac:dyDescent="0.25">
      <c r="A190" s="118"/>
      <c r="B190" s="122">
        <v>7038010006388</v>
      </c>
      <c r="C190" s="129" t="s">
        <v>441</v>
      </c>
      <c r="D190" s="93"/>
      <c r="E190" s="105" t="s">
        <v>24</v>
      </c>
      <c r="F190" s="123">
        <v>3</v>
      </c>
      <c r="G190" s="106">
        <v>62.4</v>
      </c>
      <c r="H190" s="106">
        <f>Tabell3[[#This Row],[NOK]]*N1</f>
        <v>5.3040000000000003</v>
      </c>
      <c r="I190" s="107">
        <f>Tabell3[[#This Row],[NOK]]*Tabell3[[#This Row],[QTY]]</f>
        <v>0</v>
      </c>
      <c r="J190" s="107">
        <f>Tabell3[[#This Row],[EURO]]*Tabell3[[#This Row],[QTY]]</f>
        <v>0</v>
      </c>
      <c r="K190" s="141"/>
    </row>
    <row r="191" spans="1:11" outlineLevel="1" x14ac:dyDescent="0.25">
      <c r="A191" s="118"/>
      <c r="B191" s="122">
        <v>7038010070396</v>
      </c>
      <c r="C191" s="129" t="s">
        <v>440</v>
      </c>
      <c r="D191" s="93"/>
      <c r="E191" s="105" t="s">
        <v>24</v>
      </c>
      <c r="F191" s="123">
        <v>6</v>
      </c>
      <c r="G191" s="106">
        <v>54.9</v>
      </c>
      <c r="H191" s="106">
        <f>Tabell3[[#This Row],[NOK]]*N1</f>
        <v>4.6665000000000001</v>
      </c>
      <c r="I191" s="107">
        <f>Tabell3[[#This Row],[NOK]]*Tabell3[[#This Row],[QTY]]</f>
        <v>0</v>
      </c>
      <c r="J191" s="107">
        <f>Tabell3[[#This Row],[EURO]]*Tabell3[[#This Row],[QTY]]</f>
        <v>0</v>
      </c>
      <c r="K191" s="141"/>
    </row>
    <row r="192" spans="1:11" outlineLevel="1" x14ac:dyDescent="0.25">
      <c r="A192" s="118">
        <v>16</v>
      </c>
      <c r="B192" s="122">
        <v>7038010062735</v>
      </c>
      <c r="C192" s="121" t="s">
        <v>172</v>
      </c>
      <c r="D192" s="93"/>
      <c r="E192" s="105" t="s">
        <v>24</v>
      </c>
      <c r="F192" s="123">
        <v>6</v>
      </c>
      <c r="G192" s="106">
        <v>54.9</v>
      </c>
      <c r="H192" s="106">
        <f t="shared" si="8"/>
        <v>4.6665000000000001</v>
      </c>
      <c r="I192" s="107">
        <f>Tabell3[[#This Row],[NOK]]*Tabell3[[#This Row],[QTY]]</f>
        <v>0</v>
      </c>
      <c r="J192" s="107">
        <f>Tabell3[[#This Row],[EURO]]*Tabell3[[#This Row],[QTY]]</f>
        <v>0</v>
      </c>
      <c r="K192" s="141"/>
    </row>
    <row r="193" spans="1:11" outlineLevel="1" x14ac:dyDescent="0.25">
      <c r="A193" s="118">
        <v>17</v>
      </c>
      <c r="B193" s="122">
        <v>7038010070402</v>
      </c>
      <c r="C193" s="121" t="s">
        <v>439</v>
      </c>
      <c r="D193" s="93"/>
      <c r="E193" s="105" t="s">
        <v>24</v>
      </c>
      <c r="F193" s="123">
        <v>6</v>
      </c>
      <c r="G193" s="106">
        <v>54.9</v>
      </c>
      <c r="H193" s="106">
        <f t="shared" si="8"/>
        <v>4.6665000000000001</v>
      </c>
      <c r="I193" s="107">
        <f>Tabell3[[#This Row],[NOK]]*Tabell3[[#This Row],[QTY]]</f>
        <v>0</v>
      </c>
      <c r="J193" s="107">
        <f>Tabell3[[#This Row],[EURO]]*Tabell3[[#This Row],[QTY]]</f>
        <v>0</v>
      </c>
      <c r="K193" s="141"/>
    </row>
    <row r="194" spans="1:11" outlineLevel="1" x14ac:dyDescent="0.25">
      <c r="A194" s="118">
        <v>22</v>
      </c>
      <c r="B194" s="122">
        <v>7038010572111</v>
      </c>
      <c r="C194" s="121" t="s">
        <v>173</v>
      </c>
      <c r="D194" s="93"/>
      <c r="E194" s="105" t="s">
        <v>24</v>
      </c>
      <c r="F194" s="123">
        <v>1</v>
      </c>
      <c r="G194" s="106">
        <v>459</v>
      </c>
      <c r="H194" s="106">
        <f t="shared" si="8"/>
        <v>39.015000000000001</v>
      </c>
      <c r="I194" s="107">
        <f>Tabell3[[#This Row],[NOK]]*Tabell3[[#This Row],[QTY]]</f>
        <v>0</v>
      </c>
      <c r="J194" s="107">
        <f>Tabell3[[#This Row],[EURO]]*Tabell3[[#This Row],[QTY]]</f>
        <v>0</v>
      </c>
      <c r="K194" s="141"/>
    </row>
    <row r="195" spans="1:11" outlineLevel="1" x14ac:dyDescent="0.25">
      <c r="A195" s="124">
        <v>23</v>
      </c>
      <c r="B195" s="125">
        <v>7036110009698</v>
      </c>
      <c r="C195" s="126" t="s">
        <v>174</v>
      </c>
      <c r="D195" s="81"/>
      <c r="E195" s="113" t="s">
        <v>24</v>
      </c>
      <c r="F195" s="127">
        <v>20</v>
      </c>
      <c r="G195" s="115">
        <v>32.9</v>
      </c>
      <c r="H195" s="115">
        <f t="shared" si="8"/>
        <v>2.7965</v>
      </c>
      <c r="I195" s="107">
        <f>Tabell3[[#This Row],[NOK]]*Tabell3[[#This Row],[QTY]]</f>
        <v>0</v>
      </c>
      <c r="J195" s="107">
        <f>Tabell3[[#This Row],[EURO]]*Tabell3[[#This Row],[QTY]]</f>
        <v>0</v>
      </c>
      <c r="K195" s="141">
        <v>4670238</v>
      </c>
    </row>
    <row r="196" spans="1:11" outlineLevel="1" x14ac:dyDescent="0.25">
      <c r="A196" s="118">
        <v>24</v>
      </c>
      <c r="B196" s="122">
        <v>7038010010187</v>
      </c>
      <c r="C196" s="121" t="s">
        <v>175</v>
      </c>
      <c r="D196" s="93"/>
      <c r="E196" s="105" t="s">
        <v>24</v>
      </c>
      <c r="F196" s="123">
        <v>18</v>
      </c>
      <c r="G196" s="106">
        <v>54.9</v>
      </c>
      <c r="H196" s="106">
        <f t="shared" si="8"/>
        <v>4.6665000000000001</v>
      </c>
      <c r="I196" s="107">
        <f>Tabell3[[#This Row],[NOK]]*Tabell3[[#This Row],[QTY]]</f>
        <v>0</v>
      </c>
      <c r="J196" s="107">
        <f>Tabell3[[#This Row],[EURO]]*Tabell3[[#This Row],[QTY]]</f>
        <v>0</v>
      </c>
      <c r="K196" s="141">
        <v>545657</v>
      </c>
    </row>
    <row r="197" spans="1:11" outlineLevel="1" x14ac:dyDescent="0.25">
      <c r="A197" s="118">
        <v>25</v>
      </c>
      <c r="B197" s="122">
        <v>4000339697908</v>
      </c>
      <c r="C197" s="121" t="s">
        <v>176</v>
      </c>
      <c r="D197" s="93"/>
      <c r="E197" s="105" t="s">
        <v>24</v>
      </c>
      <c r="F197" s="123">
        <v>10</v>
      </c>
      <c r="G197" s="106">
        <v>34.9</v>
      </c>
      <c r="H197" s="106">
        <f t="shared" si="8"/>
        <v>2.9664999999999999</v>
      </c>
      <c r="I197" s="107">
        <f>Tabell3[[#This Row],[NOK]]*Tabell3[[#This Row],[QTY]]</f>
        <v>0</v>
      </c>
      <c r="J197" s="107">
        <f>Tabell3[[#This Row],[EURO]]*Tabell3[[#This Row],[QTY]]</f>
        <v>0</v>
      </c>
      <c r="K197" s="141">
        <v>474585</v>
      </c>
    </row>
    <row r="198" spans="1:11" outlineLevel="1" x14ac:dyDescent="0.25">
      <c r="A198" s="118">
        <v>26</v>
      </c>
      <c r="B198" s="122">
        <v>5708356004424</v>
      </c>
      <c r="C198" s="121" t="s">
        <v>177</v>
      </c>
      <c r="D198" s="93"/>
      <c r="E198" s="105" t="s">
        <v>24</v>
      </c>
      <c r="F198" s="123">
        <v>6</v>
      </c>
      <c r="G198" s="106">
        <v>119</v>
      </c>
      <c r="H198" s="106">
        <f t="shared" si="8"/>
        <v>10.115</v>
      </c>
      <c r="I198" s="107">
        <f>Tabell3[[#This Row],[NOK]]*Tabell3[[#This Row],[QTY]]</f>
        <v>0</v>
      </c>
      <c r="J198" s="107">
        <f>Tabell3[[#This Row],[EURO]]*Tabell3[[#This Row],[QTY]]</f>
        <v>0</v>
      </c>
      <c r="K198" s="141">
        <v>18070</v>
      </c>
    </row>
    <row r="199" spans="1:11" outlineLevel="1" x14ac:dyDescent="0.25">
      <c r="A199" s="118">
        <v>27</v>
      </c>
      <c r="B199" s="122">
        <v>7025110184344</v>
      </c>
      <c r="C199" s="121" t="s">
        <v>178</v>
      </c>
      <c r="D199" s="93"/>
      <c r="E199" s="105" t="s">
        <v>24</v>
      </c>
      <c r="F199" s="123">
        <v>9</v>
      </c>
      <c r="G199" s="106">
        <v>58.9</v>
      </c>
      <c r="H199" s="106">
        <f t="shared" ref="H199:H204" si="9">G199*$N$1</f>
        <v>5.0065</v>
      </c>
      <c r="I199" s="107">
        <f>Tabell3[[#This Row],[NOK]]*Tabell3[[#This Row],[QTY]]</f>
        <v>0</v>
      </c>
      <c r="J199" s="107">
        <f>Tabell3[[#This Row],[EURO]]*Tabell3[[#This Row],[QTY]]</f>
        <v>0</v>
      </c>
      <c r="K199" s="141"/>
    </row>
    <row r="200" spans="1:11" outlineLevel="1" x14ac:dyDescent="0.25">
      <c r="A200" s="118">
        <v>28</v>
      </c>
      <c r="B200" s="122">
        <v>5704025014649</v>
      </c>
      <c r="C200" s="129" t="s">
        <v>433</v>
      </c>
      <c r="D200" s="93"/>
      <c r="E200" s="105" t="s">
        <v>24</v>
      </c>
      <c r="F200" s="123">
        <v>6</v>
      </c>
      <c r="G200" s="106">
        <v>128</v>
      </c>
      <c r="H200" s="106">
        <f t="shared" si="9"/>
        <v>10.88</v>
      </c>
      <c r="I200" s="107">
        <f>Tabell3[[#This Row],[NOK]]*Tabell3[[#This Row],[QTY]]</f>
        <v>0</v>
      </c>
      <c r="J200" s="107">
        <f>Tabell3[[#This Row],[EURO]]*Tabell3[[#This Row],[QTY]]</f>
        <v>0</v>
      </c>
      <c r="K200" s="141"/>
    </row>
    <row r="201" spans="1:11" outlineLevel="1" x14ac:dyDescent="0.25">
      <c r="A201" s="118">
        <v>29</v>
      </c>
      <c r="B201" s="122">
        <v>8004603100794</v>
      </c>
      <c r="C201" s="129" t="s">
        <v>434</v>
      </c>
      <c r="D201" s="93"/>
      <c r="E201" s="105" t="s">
        <v>24</v>
      </c>
      <c r="F201" s="123">
        <v>6</v>
      </c>
      <c r="G201" s="106">
        <v>45.9</v>
      </c>
      <c r="H201" s="106">
        <f t="shared" si="9"/>
        <v>3.9015</v>
      </c>
      <c r="I201" s="107">
        <f>Tabell3[[#This Row],[NOK]]*Tabell3[[#This Row],[QTY]]</f>
        <v>0</v>
      </c>
      <c r="J201" s="107">
        <f>Tabell3[[#This Row],[EURO]]*Tabell3[[#This Row],[QTY]]</f>
        <v>0</v>
      </c>
      <c r="K201" s="141"/>
    </row>
    <row r="202" spans="1:11" outlineLevel="1" x14ac:dyDescent="0.25">
      <c r="A202" s="118">
        <v>30</v>
      </c>
      <c r="B202" s="122">
        <v>7340191120143</v>
      </c>
      <c r="C202" s="129" t="s">
        <v>435</v>
      </c>
      <c r="D202" s="93"/>
      <c r="E202" s="105" t="s">
        <v>24</v>
      </c>
      <c r="F202" s="123">
        <v>8</v>
      </c>
      <c r="G202" s="106">
        <v>36.9</v>
      </c>
      <c r="H202" s="106">
        <f t="shared" si="9"/>
        <v>3.1365000000000003</v>
      </c>
      <c r="I202" s="107">
        <f>Tabell3[[#This Row],[NOK]]*Tabell3[[#This Row],[QTY]]</f>
        <v>0</v>
      </c>
      <c r="J202" s="107">
        <f>Tabell3[[#This Row],[EURO]]*Tabell3[[#This Row],[QTY]]</f>
        <v>0</v>
      </c>
      <c r="K202" s="141"/>
    </row>
    <row r="203" spans="1:11" outlineLevel="1" x14ac:dyDescent="0.25">
      <c r="A203" s="118">
        <v>31</v>
      </c>
      <c r="B203" s="122"/>
      <c r="C203" s="129" t="s">
        <v>61</v>
      </c>
      <c r="D203" s="93"/>
      <c r="E203" s="105"/>
      <c r="F203" s="123"/>
      <c r="G203" s="106"/>
      <c r="H203" s="106">
        <f t="shared" si="9"/>
        <v>0</v>
      </c>
      <c r="I203" s="107">
        <f>Tabell3[[#This Row],[NOK]]*Tabell3[[#This Row],[QTY]]</f>
        <v>0</v>
      </c>
      <c r="J203" s="107">
        <f>Tabell3[[#This Row],[EURO]]*Tabell3[[#This Row],[QTY]]</f>
        <v>0</v>
      </c>
      <c r="K203" s="141"/>
    </row>
    <row r="204" spans="1:11" x14ac:dyDescent="0.25">
      <c r="A204" s="118">
        <v>32</v>
      </c>
      <c r="B204" s="122"/>
      <c r="C204" s="129" t="s">
        <v>61</v>
      </c>
      <c r="D204" s="93"/>
      <c r="E204" s="105"/>
      <c r="F204" s="123"/>
      <c r="G204" s="106"/>
      <c r="H204" s="106">
        <f t="shared" si="9"/>
        <v>0</v>
      </c>
      <c r="I204" s="107">
        <f>Tabell3[[#This Row],[NOK]]*Tabell3[[#This Row],[QTY]]</f>
        <v>0</v>
      </c>
      <c r="J204" s="107">
        <f>Tabell3[[#This Row],[EURO]]*Tabell3[[#This Row],[QTY]]</f>
        <v>0</v>
      </c>
      <c r="K204" s="141"/>
    </row>
    <row r="205" spans="1:11" x14ac:dyDescent="0.25">
      <c r="B205" s="83"/>
      <c r="C205" s="83"/>
      <c r="D205" s="83"/>
      <c r="E205" s="95"/>
      <c r="F205" s="95"/>
      <c r="G205" s="95"/>
    </row>
    <row r="206" spans="1:11" x14ac:dyDescent="0.25">
      <c r="B206" s="83"/>
      <c r="C206" s="83"/>
      <c r="D206" s="83"/>
      <c r="E206" s="95"/>
      <c r="F206" s="95"/>
      <c r="G206" s="95"/>
      <c r="I206" s="188">
        <f>SUM(I181:I205)</f>
        <v>0</v>
      </c>
      <c r="J206" s="188">
        <f>SUM(J181:J205)</f>
        <v>0</v>
      </c>
    </row>
    <row r="207" spans="1:11" ht="18.75" x14ac:dyDescent="0.3">
      <c r="A207" s="194" t="s">
        <v>179</v>
      </c>
      <c r="B207" s="194"/>
      <c r="C207" s="194"/>
      <c r="D207" s="194"/>
      <c r="E207" s="194"/>
      <c r="F207" s="194"/>
      <c r="G207" s="194"/>
      <c r="H207" s="194"/>
      <c r="I207" s="194"/>
      <c r="J207" s="194"/>
    </row>
    <row r="208" spans="1:11" outlineLevel="1" x14ac:dyDescent="0.25">
      <c r="A208" s="92" t="s">
        <v>6</v>
      </c>
      <c r="B208" s="92" t="s">
        <v>7</v>
      </c>
      <c r="C208" s="92" t="s">
        <v>8</v>
      </c>
      <c r="D208" s="92" t="s">
        <v>16</v>
      </c>
      <c r="E208" s="140" t="s">
        <v>10</v>
      </c>
      <c r="F208" s="140" t="s">
        <v>17</v>
      </c>
      <c r="G208" s="140" t="s">
        <v>18</v>
      </c>
      <c r="H208" s="140" t="s">
        <v>19</v>
      </c>
      <c r="I208" s="140" t="s">
        <v>20</v>
      </c>
      <c r="J208" s="140" t="s">
        <v>21</v>
      </c>
      <c r="K208" s="144" t="s">
        <v>22</v>
      </c>
    </row>
    <row r="209" spans="1:11" outlineLevel="1" x14ac:dyDescent="0.25">
      <c r="A209" s="118">
        <v>1</v>
      </c>
      <c r="B209" s="122">
        <v>7037204742125</v>
      </c>
      <c r="C209" s="121" t="s">
        <v>180</v>
      </c>
      <c r="D209" s="93"/>
      <c r="E209" s="105" t="s">
        <v>24</v>
      </c>
      <c r="F209" s="123">
        <v>12</v>
      </c>
      <c r="G209" s="106">
        <v>44</v>
      </c>
      <c r="H209" s="106">
        <f t="shared" ref="H209:H229" si="10">G209*$N$1</f>
        <v>3.74</v>
      </c>
      <c r="I209" s="107">
        <f>Tabell4[[#This Row],[NOK]]*Tabell4[[#This Row],[QTY]]</f>
        <v>0</v>
      </c>
      <c r="J209" s="107">
        <f>Tabell4[[#This Row],[EURO]]*Tabell4[[#This Row],[QTY]]</f>
        <v>0</v>
      </c>
      <c r="K209" s="145">
        <v>4566915</v>
      </c>
    </row>
    <row r="210" spans="1:11" outlineLevel="1" x14ac:dyDescent="0.25">
      <c r="A210" s="118">
        <v>2</v>
      </c>
      <c r="B210" s="122">
        <v>7058040614704</v>
      </c>
      <c r="C210" s="121" t="s">
        <v>181</v>
      </c>
      <c r="D210" s="93"/>
      <c r="E210" s="105" t="s">
        <v>24</v>
      </c>
      <c r="F210" s="123">
        <v>13</v>
      </c>
      <c r="G210" s="106">
        <v>69.900000000000006</v>
      </c>
      <c r="H210" s="106">
        <f t="shared" si="10"/>
        <v>5.9415000000000013</v>
      </c>
      <c r="I210" s="107">
        <f>Tabell4[[#This Row],[NOK]]*Tabell4[[#This Row],[QTY]]</f>
        <v>0</v>
      </c>
      <c r="J210" s="107">
        <f>Tabell4[[#This Row],[EURO]]*Tabell4[[#This Row],[QTY]]</f>
        <v>0</v>
      </c>
      <c r="K210" s="141">
        <v>5452073</v>
      </c>
    </row>
    <row r="211" spans="1:11" outlineLevel="1" x14ac:dyDescent="0.25">
      <c r="A211" s="118">
        <v>3</v>
      </c>
      <c r="B211" s="122">
        <v>7037204740640</v>
      </c>
      <c r="C211" s="121" t="s">
        <v>182</v>
      </c>
      <c r="D211" s="93"/>
      <c r="E211" s="105" t="s">
        <v>24</v>
      </c>
      <c r="F211" s="123">
        <v>10</v>
      </c>
      <c r="G211" s="106">
        <v>44.9</v>
      </c>
      <c r="H211" s="106">
        <f t="shared" si="10"/>
        <v>3.8165</v>
      </c>
      <c r="I211" s="107">
        <f>Tabell4[[#This Row],[NOK]]*Tabell4[[#This Row],[QTY]]</f>
        <v>0</v>
      </c>
      <c r="J211" s="107">
        <f>Tabell4[[#This Row],[EURO]]*Tabell4[[#This Row],[QTY]]</f>
        <v>0</v>
      </c>
      <c r="K211" s="141">
        <v>4569158</v>
      </c>
    </row>
    <row r="212" spans="1:11" outlineLevel="1" x14ac:dyDescent="0.25">
      <c r="A212" s="118">
        <v>4</v>
      </c>
      <c r="B212" s="122">
        <v>8016451012006</v>
      </c>
      <c r="C212" s="121" t="s">
        <v>183</v>
      </c>
      <c r="D212" s="93"/>
      <c r="E212" s="105" t="s">
        <v>24</v>
      </c>
      <c r="F212" s="123">
        <v>10</v>
      </c>
      <c r="G212" s="106">
        <v>169</v>
      </c>
      <c r="H212" s="106">
        <f t="shared" si="10"/>
        <v>14.365</v>
      </c>
      <c r="I212" s="107">
        <f>Tabell4[[#This Row],[NOK]]*Tabell4[[#This Row],[QTY]]</f>
        <v>0</v>
      </c>
      <c r="J212" s="107">
        <f>Tabell4[[#This Row],[EURO]]*Tabell4[[#This Row],[QTY]]</f>
        <v>0</v>
      </c>
      <c r="K212" s="141">
        <v>712265</v>
      </c>
    </row>
    <row r="213" spans="1:11" outlineLevel="1" x14ac:dyDescent="0.25">
      <c r="A213" s="118">
        <v>5</v>
      </c>
      <c r="B213" s="122">
        <v>7037204771323</v>
      </c>
      <c r="C213" s="121" t="s">
        <v>184</v>
      </c>
      <c r="D213" s="93"/>
      <c r="E213" s="105" t="s">
        <v>24</v>
      </c>
      <c r="F213" s="123">
        <v>10</v>
      </c>
      <c r="G213" s="106">
        <v>46.9</v>
      </c>
      <c r="H213" s="106">
        <f t="shared" si="10"/>
        <v>3.9865000000000004</v>
      </c>
      <c r="I213" s="107">
        <f>Tabell4[[#This Row],[NOK]]*Tabell4[[#This Row],[QTY]]</f>
        <v>0</v>
      </c>
      <c r="J213" s="107">
        <f>Tabell4[[#This Row],[EURO]]*Tabell4[[#This Row],[QTY]]</f>
        <v>0</v>
      </c>
      <c r="K213" s="141">
        <v>4739637</v>
      </c>
    </row>
    <row r="214" spans="1:11" outlineLevel="1" x14ac:dyDescent="0.25">
      <c r="A214" s="118">
        <v>6</v>
      </c>
      <c r="B214" s="122">
        <v>7037204191428</v>
      </c>
      <c r="C214" s="121" t="s">
        <v>185</v>
      </c>
      <c r="D214" s="93"/>
      <c r="E214" s="105" t="s">
        <v>24</v>
      </c>
      <c r="F214" s="123">
        <v>10</v>
      </c>
      <c r="G214" s="106">
        <v>45.9</v>
      </c>
      <c r="H214" s="106">
        <f t="shared" si="10"/>
        <v>3.9015</v>
      </c>
      <c r="I214" s="107">
        <f>Tabell4[[#This Row],[NOK]]*Tabell4[[#This Row],[QTY]]</f>
        <v>0</v>
      </c>
      <c r="J214" s="107">
        <f>Tabell4[[#This Row],[EURO]]*Tabell4[[#This Row],[QTY]]</f>
        <v>0</v>
      </c>
      <c r="K214" s="141">
        <v>1659648</v>
      </c>
    </row>
    <row r="215" spans="1:11" outlineLevel="1" x14ac:dyDescent="0.25">
      <c r="A215" s="118">
        <v>7</v>
      </c>
      <c r="B215" s="122">
        <v>7023539700718</v>
      </c>
      <c r="C215" s="121" t="s">
        <v>186</v>
      </c>
      <c r="D215" s="93"/>
      <c r="E215" s="105" t="s">
        <v>24</v>
      </c>
      <c r="F215" s="123">
        <v>4</v>
      </c>
      <c r="G215" s="106">
        <v>132.9</v>
      </c>
      <c r="H215" s="106">
        <f t="shared" si="10"/>
        <v>11.296500000000002</v>
      </c>
      <c r="I215" s="107">
        <f>Tabell4[[#This Row],[NOK]]*Tabell4[[#This Row],[QTY]]</f>
        <v>0</v>
      </c>
      <c r="J215" s="107">
        <f>Tabell4[[#This Row],[EURO]]*Tabell4[[#This Row],[QTY]]</f>
        <v>0</v>
      </c>
      <c r="K215" s="141">
        <v>5360763</v>
      </c>
    </row>
    <row r="216" spans="1:11" outlineLevel="1" x14ac:dyDescent="0.25">
      <c r="A216" s="118">
        <v>8</v>
      </c>
      <c r="B216" s="122">
        <v>7038420002109</v>
      </c>
      <c r="C216" s="121" t="s">
        <v>187</v>
      </c>
      <c r="D216" s="93"/>
      <c r="E216" s="105" t="s">
        <v>24</v>
      </c>
      <c r="F216" s="123">
        <v>6</v>
      </c>
      <c r="G216" s="106">
        <v>136</v>
      </c>
      <c r="H216" s="106">
        <f t="shared" si="10"/>
        <v>11.56</v>
      </c>
      <c r="I216" s="107">
        <f>Tabell4[[#This Row],[NOK]]*Tabell4[[#This Row],[QTY]]</f>
        <v>0</v>
      </c>
      <c r="J216" s="107">
        <f>Tabell4[[#This Row],[EURO]]*Tabell4[[#This Row],[QTY]]</f>
        <v>0</v>
      </c>
      <c r="K216" s="141">
        <v>4961843</v>
      </c>
    </row>
    <row r="217" spans="1:11" outlineLevel="1" x14ac:dyDescent="0.25">
      <c r="A217" s="118">
        <v>9</v>
      </c>
      <c r="B217" s="122">
        <v>7090007553817</v>
      </c>
      <c r="C217" s="121" t="s">
        <v>188</v>
      </c>
      <c r="D217" s="93"/>
      <c r="E217" s="105" t="s">
        <v>24</v>
      </c>
      <c r="F217" s="123">
        <v>50</v>
      </c>
      <c r="G217" s="106">
        <v>24.9</v>
      </c>
      <c r="H217" s="106">
        <f t="shared" si="10"/>
        <v>2.1164999999999998</v>
      </c>
      <c r="I217" s="107">
        <f>Tabell4[[#This Row],[NOK]]*Tabell4[[#This Row],[QTY]]</f>
        <v>0</v>
      </c>
      <c r="J217" s="107">
        <f>Tabell4[[#This Row],[EURO]]*Tabell4[[#This Row],[QTY]]</f>
        <v>0</v>
      </c>
      <c r="K217" s="141">
        <v>2435014</v>
      </c>
    </row>
    <row r="218" spans="1:11" outlineLevel="1" x14ac:dyDescent="0.25">
      <c r="A218" s="118">
        <v>10</v>
      </c>
      <c r="B218" s="122"/>
      <c r="C218" s="129" t="s">
        <v>189</v>
      </c>
      <c r="D218" s="93"/>
      <c r="E218" s="105" t="s">
        <v>26</v>
      </c>
      <c r="F218" s="123">
        <v>1</v>
      </c>
      <c r="G218" s="106">
        <v>349</v>
      </c>
      <c r="H218" s="106">
        <f t="shared" si="10"/>
        <v>29.665000000000003</v>
      </c>
      <c r="I218" s="107">
        <f>Tabell4[[#This Row],[NOK]]*Tabell4[[#This Row],[QTY]]</f>
        <v>0</v>
      </c>
      <c r="J218" s="107">
        <f>Tabell4[[#This Row],[EURO]]*Tabell4[[#This Row],[QTY]]</f>
        <v>0</v>
      </c>
      <c r="K218" s="141"/>
    </row>
    <row r="219" spans="1:11" outlineLevel="1" x14ac:dyDescent="0.25">
      <c r="A219" s="118">
        <v>11</v>
      </c>
      <c r="B219" s="122">
        <v>2223</v>
      </c>
      <c r="C219" s="129" t="s">
        <v>190</v>
      </c>
      <c r="D219" s="93"/>
      <c r="E219" s="105" t="s">
        <v>26</v>
      </c>
      <c r="F219" s="123">
        <v>1</v>
      </c>
      <c r="G219" s="106">
        <v>210</v>
      </c>
      <c r="H219" s="106">
        <f t="shared" si="10"/>
        <v>17.850000000000001</v>
      </c>
      <c r="I219" s="107">
        <f>Tabell4[[#This Row],[NOK]]*Tabell4[[#This Row],[QTY]]</f>
        <v>0</v>
      </c>
      <c r="J219" s="107">
        <f>Tabell4[[#This Row],[EURO]]*Tabell4[[#This Row],[QTY]]</f>
        <v>0</v>
      </c>
      <c r="K219" s="141"/>
    </row>
    <row r="220" spans="1:11" outlineLevel="1" x14ac:dyDescent="0.25">
      <c r="A220" s="118">
        <v>12</v>
      </c>
      <c r="B220" s="122">
        <v>2004</v>
      </c>
      <c r="C220" s="129" t="s">
        <v>191</v>
      </c>
      <c r="D220" s="93"/>
      <c r="E220" s="105" t="s">
        <v>26</v>
      </c>
      <c r="F220" s="123">
        <v>1</v>
      </c>
      <c r="G220" s="106">
        <v>219</v>
      </c>
      <c r="H220" s="106">
        <f t="shared" si="10"/>
        <v>18.615000000000002</v>
      </c>
      <c r="I220" s="107">
        <f>Tabell4[[#This Row],[NOK]]*Tabell4[[#This Row],[QTY]]</f>
        <v>0</v>
      </c>
      <c r="J220" s="107">
        <f>Tabell4[[#This Row],[EURO]]*Tabell4[[#This Row],[QTY]]</f>
        <v>0</v>
      </c>
      <c r="K220" s="141"/>
    </row>
    <row r="221" spans="1:11" outlineLevel="1" x14ac:dyDescent="0.25">
      <c r="A221" s="118">
        <v>13</v>
      </c>
      <c r="B221" s="122">
        <v>1915</v>
      </c>
      <c r="C221" s="129" t="s">
        <v>192</v>
      </c>
      <c r="D221" s="93"/>
      <c r="E221" s="105" t="s">
        <v>26</v>
      </c>
      <c r="F221" s="123">
        <v>1</v>
      </c>
      <c r="G221" s="106">
        <v>149</v>
      </c>
      <c r="H221" s="106">
        <f t="shared" si="10"/>
        <v>12.665000000000001</v>
      </c>
      <c r="I221" s="107">
        <f>Tabell4[[#This Row],[NOK]]*Tabell4[[#This Row],[QTY]]</f>
        <v>0</v>
      </c>
      <c r="J221" s="107">
        <f>Tabell4[[#This Row],[EURO]]*Tabell4[[#This Row],[QTY]]</f>
        <v>0</v>
      </c>
      <c r="K221" s="141"/>
    </row>
    <row r="222" spans="1:11" outlineLevel="1" x14ac:dyDescent="0.25">
      <c r="A222" s="118">
        <v>14</v>
      </c>
      <c r="B222" s="122">
        <v>1910</v>
      </c>
      <c r="C222" s="129" t="s">
        <v>193</v>
      </c>
      <c r="D222" s="93"/>
      <c r="E222" s="105" t="s">
        <v>26</v>
      </c>
      <c r="F222" s="123">
        <v>1</v>
      </c>
      <c r="G222" s="106">
        <v>109</v>
      </c>
      <c r="H222" s="106">
        <f t="shared" si="10"/>
        <v>9.2650000000000006</v>
      </c>
      <c r="I222" s="107">
        <f>Tabell4[[#This Row],[NOK]]*Tabell4[[#This Row],[QTY]]</f>
        <v>0</v>
      </c>
      <c r="J222" s="107">
        <f>Tabell4[[#This Row],[EURO]]*Tabell4[[#This Row],[QTY]]</f>
        <v>0</v>
      </c>
      <c r="K222" s="141"/>
    </row>
    <row r="223" spans="1:11" outlineLevel="1" x14ac:dyDescent="0.25">
      <c r="A223" s="118">
        <v>15</v>
      </c>
      <c r="B223" s="122">
        <v>1977</v>
      </c>
      <c r="C223" s="129" t="s">
        <v>194</v>
      </c>
      <c r="D223" s="93"/>
      <c r="E223" s="105" t="s">
        <v>26</v>
      </c>
      <c r="F223" s="123">
        <v>1</v>
      </c>
      <c r="G223" s="106">
        <v>79</v>
      </c>
      <c r="H223" s="106">
        <f t="shared" si="10"/>
        <v>6.7150000000000007</v>
      </c>
      <c r="I223" s="107">
        <f>Tabell4[[#This Row],[NOK]]*Tabell4[[#This Row],[QTY]]</f>
        <v>0</v>
      </c>
      <c r="J223" s="107">
        <f>Tabell4[[#This Row],[EURO]]*Tabell4[[#This Row],[QTY]]</f>
        <v>0</v>
      </c>
      <c r="K223" s="141"/>
    </row>
    <row r="224" spans="1:11" outlineLevel="1" x14ac:dyDescent="0.25">
      <c r="A224" s="118">
        <v>16</v>
      </c>
      <c r="B224" s="122">
        <v>1970</v>
      </c>
      <c r="C224" s="129" t="s">
        <v>195</v>
      </c>
      <c r="D224" s="93"/>
      <c r="E224" s="105" t="s">
        <v>26</v>
      </c>
      <c r="F224" s="123">
        <v>1</v>
      </c>
      <c r="G224" s="106">
        <v>239</v>
      </c>
      <c r="H224" s="106">
        <f t="shared" si="10"/>
        <v>20.315000000000001</v>
      </c>
      <c r="I224" s="107">
        <f>Tabell4[[#This Row],[NOK]]*Tabell4[[#This Row],[QTY]]</f>
        <v>0</v>
      </c>
      <c r="J224" s="107">
        <f>Tabell4[[#This Row],[EURO]]*Tabell4[[#This Row],[QTY]]</f>
        <v>0</v>
      </c>
      <c r="K224" s="141"/>
    </row>
    <row r="225" spans="1:11" outlineLevel="1" x14ac:dyDescent="0.25">
      <c r="A225" s="118">
        <v>17</v>
      </c>
      <c r="B225" s="122">
        <v>2046</v>
      </c>
      <c r="C225" s="129" t="s">
        <v>196</v>
      </c>
      <c r="D225" s="93"/>
      <c r="E225" s="105" t="s">
        <v>26</v>
      </c>
      <c r="F225" s="123">
        <v>1</v>
      </c>
      <c r="G225" s="106">
        <v>199</v>
      </c>
      <c r="H225" s="106">
        <f t="shared" si="10"/>
        <v>16.915000000000003</v>
      </c>
      <c r="I225" s="107">
        <f>Tabell4[[#This Row],[NOK]]*Tabell4[[#This Row],[QTY]]</f>
        <v>0</v>
      </c>
      <c r="J225" s="107">
        <f>Tabell4[[#This Row],[EURO]]*Tabell4[[#This Row],[QTY]]</f>
        <v>0</v>
      </c>
      <c r="K225" s="141"/>
    </row>
    <row r="226" spans="1:11" outlineLevel="1" x14ac:dyDescent="0.25">
      <c r="A226" s="118">
        <v>18</v>
      </c>
      <c r="B226" s="122">
        <v>2046</v>
      </c>
      <c r="C226" s="129" t="s">
        <v>197</v>
      </c>
      <c r="D226" s="93"/>
      <c r="E226" s="105" t="s">
        <v>26</v>
      </c>
      <c r="F226" s="123">
        <v>1</v>
      </c>
      <c r="G226" s="106">
        <v>329</v>
      </c>
      <c r="H226" s="106">
        <f t="shared" si="10"/>
        <v>27.965000000000003</v>
      </c>
      <c r="I226" s="107">
        <f>Tabell4[[#This Row],[NOK]]*Tabell4[[#This Row],[QTY]]</f>
        <v>0</v>
      </c>
      <c r="J226" s="107">
        <f>Tabell4[[#This Row],[EURO]]*Tabell4[[#This Row],[QTY]]</f>
        <v>0</v>
      </c>
      <c r="K226" s="141"/>
    </row>
    <row r="227" spans="1:11" outlineLevel="1" x14ac:dyDescent="0.25">
      <c r="A227" s="118">
        <v>19</v>
      </c>
      <c r="B227" s="122">
        <v>4989</v>
      </c>
      <c r="C227" s="129" t="s">
        <v>198</v>
      </c>
      <c r="D227" s="93"/>
      <c r="E227" s="105" t="s">
        <v>26</v>
      </c>
      <c r="F227" s="123">
        <v>10</v>
      </c>
      <c r="G227" s="106">
        <v>169</v>
      </c>
      <c r="H227" s="106">
        <f t="shared" si="10"/>
        <v>14.365</v>
      </c>
      <c r="I227" s="107">
        <f>Tabell4[[#This Row],[NOK]]*Tabell4[[#This Row],[QTY]]</f>
        <v>0</v>
      </c>
      <c r="J227" s="107">
        <f>Tabell4[[#This Row],[EURO]]*Tabell4[[#This Row],[QTY]]</f>
        <v>0</v>
      </c>
      <c r="K227" s="141">
        <v>1323724</v>
      </c>
    </row>
    <row r="228" spans="1:11" outlineLevel="1" x14ac:dyDescent="0.25">
      <c r="A228" s="118">
        <v>20</v>
      </c>
      <c r="B228" s="122">
        <v>4802</v>
      </c>
      <c r="C228" s="129" t="s">
        <v>199</v>
      </c>
      <c r="D228" s="93"/>
      <c r="E228" s="105" t="s">
        <v>200</v>
      </c>
      <c r="F228" s="123">
        <v>1</v>
      </c>
      <c r="G228" s="106">
        <v>417.9</v>
      </c>
      <c r="H228" s="106">
        <f t="shared" si="10"/>
        <v>35.521500000000003</v>
      </c>
      <c r="I228" s="107">
        <f>Tabell4[[#This Row],[NOK]]*Tabell4[[#This Row],[QTY]]</f>
        <v>0</v>
      </c>
      <c r="J228" s="107">
        <f>Tabell4[[#This Row],[EURO]]*Tabell4[[#This Row],[QTY]]</f>
        <v>0</v>
      </c>
      <c r="K228" s="141">
        <v>4267415</v>
      </c>
    </row>
    <row r="229" spans="1:11" outlineLevel="1" x14ac:dyDescent="0.25">
      <c r="A229" s="118">
        <v>22</v>
      </c>
      <c r="B229" s="122">
        <v>4344</v>
      </c>
      <c r="C229" s="129" t="s">
        <v>201</v>
      </c>
      <c r="D229" s="93"/>
      <c r="E229" s="105" t="s">
        <v>26</v>
      </c>
      <c r="F229" s="123">
        <v>3</v>
      </c>
      <c r="G229" s="106">
        <v>184</v>
      </c>
      <c r="H229" s="106">
        <f t="shared" si="10"/>
        <v>15.64</v>
      </c>
      <c r="I229" s="107">
        <f>Tabell4[[#This Row],[NOK]]*Tabell4[[#This Row],[QTY]]</f>
        <v>0</v>
      </c>
      <c r="J229" s="107">
        <f>Tabell4[[#This Row],[EURO]]*Tabell4[[#This Row],[QTY]]</f>
        <v>0</v>
      </c>
      <c r="K229" s="141">
        <v>4268538</v>
      </c>
    </row>
    <row r="230" spans="1:11" hidden="1" outlineLevel="1" x14ac:dyDescent="0.25">
      <c r="A230" s="118">
        <v>23</v>
      </c>
      <c r="B230" s="122">
        <v>4807</v>
      </c>
      <c r="C230" s="129" t="s">
        <v>202</v>
      </c>
      <c r="D230" s="93"/>
      <c r="E230" s="105" t="s">
        <v>26</v>
      </c>
      <c r="F230" s="123">
        <v>4</v>
      </c>
      <c r="G230" s="106">
        <v>119</v>
      </c>
      <c r="H230" s="106">
        <f t="shared" ref="H230" si="11">G230*$N$1</f>
        <v>10.115</v>
      </c>
      <c r="I230" s="107">
        <f>Tabell4[[#This Row],[NOK]]*Tabell4[[#This Row],[QTY]]</f>
        <v>0</v>
      </c>
      <c r="J230" s="107">
        <f>Tabell4[[#This Row],[EURO]]*Tabell4[[#This Row],[QTY]]</f>
        <v>0</v>
      </c>
      <c r="K230" s="141">
        <v>3098282</v>
      </c>
    </row>
    <row r="231" spans="1:11" hidden="1" outlineLevel="1" x14ac:dyDescent="0.25">
      <c r="A231" s="118">
        <v>24</v>
      </c>
      <c r="B231" s="122"/>
      <c r="C231" s="129" t="s">
        <v>61</v>
      </c>
      <c r="D231" s="93"/>
      <c r="E231" s="105"/>
      <c r="F231" s="123"/>
      <c r="G231" s="106"/>
      <c r="H231" s="106">
        <f>G231*$N$1</f>
        <v>0</v>
      </c>
      <c r="I231" s="107">
        <f>Tabell4[[#This Row],[NOK]]*Tabell4[[#This Row],[QTY]]</f>
        <v>0</v>
      </c>
      <c r="J231" s="107">
        <f>Tabell4[[#This Row],[EURO]]*Tabell4[[#This Row],[QTY]]</f>
        <v>0</v>
      </c>
      <c r="K231" s="141"/>
    </row>
    <row r="232" spans="1:11" hidden="1" outlineLevel="1" x14ac:dyDescent="0.25">
      <c r="A232" s="118">
        <v>25</v>
      </c>
      <c r="B232" s="122"/>
      <c r="C232" s="129" t="s">
        <v>61</v>
      </c>
      <c r="D232" s="93"/>
      <c r="E232" s="105"/>
      <c r="F232" s="123"/>
      <c r="G232" s="106"/>
      <c r="H232" s="106">
        <f>G232*$N$1</f>
        <v>0</v>
      </c>
      <c r="I232" s="107">
        <f>Tabell4[[#This Row],[NOK]]*Tabell4[[#This Row],[QTY]]</f>
        <v>0</v>
      </c>
      <c r="J232" s="107">
        <f>Tabell4[[#This Row],[EURO]]*Tabell4[[#This Row],[QTY]]</f>
        <v>0</v>
      </c>
      <c r="K232" s="141"/>
    </row>
    <row r="233" spans="1:11" hidden="1" outlineLevel="1" x14ac:dyDescent="0.25">
      <c r="A233" s="118">
        <v>26</v>
      </c>
      <c r="B233" s="122"/>
      <c r="C233" s="129" t="s">
        <v>61</v>
      </c>
      <c r="D233" s="93"/>
      <c r="E233" s="105"/>
      <c r="F233" s="123"/>
      <c r="G233" s="106"/>
      <c r="H233" s="106">
        <f>G233*$N$1</f>
        <v>0</v>
      </c>
      <c r="I233" s="107">
        <f>Tabell4[[#This Row],[NOK]]*Tabell4[[#This Row],[QTY]]</f>
        <v>0</v>
      </c>
      <c r="J233" s="107">
        <f>Tabell4[[#This Row],[EURO]]*Tabell4[[#This Row],[QTY]]</f>
        <v>0</v>
      </c>
      <c r="K233" s="141"/>
    </row>
    <row r="234" spans="1:11" hidden="1" outlineLevel="1" x14ac:dyDescent="0.25">
      <c r="A234" s="118">
        <v>27</v>
      </c>
      <c r="B234" s="122"/>
      <c r="C234" s="129" t="s">
        <v>61</v>
      </c>
      <c r="D234" s="93"/>
      <c r="E234" s="105"/>
      <c r="F234" s="123"/>
      <c r="G234" s="106"/>
      <c r="H234" s="106">
        <f>G234*$N$1</f>
        <v>0</v>
      </c>
      <c r="I234" s="107">
        <f>Tabell4[[#This Row],[NOK]]*Tabell4[[#This Row],[QTY]]</f>
        <v>0</v>
      </c>
      <c r="J234" s="107">
        <f>Tabell4[[#This Row],[EURO]]*Tabell4[[#This Row],[QTY]]</f>
        <v>0</v>
      </c>
      <c r="K234" s="141"/>
    </row>
    <row r="235" spans="1:11" hidden="1" x14ac:dyDescent="0.25">
      <c r="A235" s="118">
        <v>28</v>
      </c>
      <c r="B235" s="122"/>
      <c r="C235" s="129" t="s">
        <v>61</v>
      </c>
      <c r="D235" s="93"/>
      <c r="E235" s="105"/>
      <c r="F235" s="123"/>
      <c r="G235" s="106"/>
      <c r="H235" s="106">
        <f>G235*$N$1</f>
        <v>0</v>
      </c>
      <c r="I235" s="107">
        <f>Tabell4[[#This Row],[NOK]]*Tabell4[[#This Row],[QTY]]</f>
        <v>0</v>
      </c>
      <c r="J235" s="107">
        <f>Tabell4[[#This Row],[EURO]]*Tabell4[[#This Row],[QTY]]</f>
        <v>0</v>
      </c>
      <c r="K235" s="141"/>
    </row>
    <row r="236" spans="1:11" x14ac:dyDescent="0.25">
      <c r="C236" s="83"/>
      <c r="D236" s="83"/>
      <c r="E236" s="86"/>
      <c r="F236" s="95"/>
      <c r="G236" s="86"/>
      <c r="H236" s="86"/>
    </row>
    <row r="237" spans="1:11" x14ac:dyDescent="0.25">
      <c r="F237" s="95"/>
      <c r="G237" s="86"/>
      <c r="H237" s="86"/>
      <c r="I237" s="188">
        <f>SUM(I209:I236)</f>
        <v>0</v>
      </c>
      <c r="J237" s="188">
        <f>SUM(J209:J236)</f>
        <v>0</v>
      </c>
    </row>
    <row r="238" spans="1:11" ht="18.75" x14ac:dyDescent="0.3">
      <c r="A238" s="194" t="s">
        <v>203</v>
      </c>
      <c r="B238" s="194"/>
      <c r="C238" s="194"/>
      <c r="D238" s="194"/>
      <c r="E238" s="194"/>
      <c r="F238" s="194"/>
      <c r="G238" s="194"/>
      <c r="H238" s="194"/>
      <c r="I238" s="194"/>
      <c r="J238" s="194"/>
    </row>
    <row r="239" spans="1:11" outlineLevel="1" x14ac:dyDescent="0.25">
      <c r="A239" s="92" t="s">
        <v>6</v>
      </c>
      <c r="B239" s="92" t="s">
        <v>7</v>
      </c>
      <c r="C239" s="92" t="s">
        <v>8</v>
      </c>
      <c r="D239" s="92" t="s">
        <v>16</v>
      </c>
      <c r="E239" s="140" t="s">
        <v>10</v>
      </c>
      <c r="F239" s="140" t="s">
        <v>17</v>
      </c>
      <c r="G239" s="140" t="s">
        <v>18</v>
      </c>
      <c r="H239" s="140" t="s">
        <v>19</v>
      </c>
      <c r="I239" s="140" t="s">
        <v>20</v>
      </c>
      <c r="J239" s="140" t="s">
        <v>21</v>
      </c>
      <c r="K239" s="144" t="s">
        <v>22</v>
      </c>
    </row>
    <row r="240" spans="1:11" outlineLevel="1" x14ac:dyDescent="0.25">
      <c r="A240" s="130">
        <v>1</v>
      </c>
      <c r="B240" s="131">
        <v>480057</v>
      </c>
      <c r="C240" s="121" t="s">
        <v>204</v>
      </c>
      <c r="D240" s="93"/>
      <c r="E240" s="105" t="s">
        <v>24</v>
      </c>
      <c r="F240" s="123">
        <v>1</v>
      </c>
      <c r="G240" s="106">
        <v>222.5</v>
      </c>
      <c r="H240" s="106">
        <f t="shared" ref="H240:H271" si="12">G240*$N$1</f>
        <v>18.912500000000001</v>
      </c>
      <c r="I240" s="107">
        <f>Tabell5[[#This Row],[NOK]]*Tabell5[[#This Row],[QTY]]</f>
        <v>0</v>
      </c>
      <c r="J240" s="107">
        <f>Tabell5[[#This Row],[EURO]]*Tabell5[[#This Row],[QTY]]</f>
        <v>0</v>
      </c>
      <c r="K240" s="145">
        <v>16139</v>
      </c>
    </row>
    <row r="241" spans="1:14" outlineLevel="1" x14ac:dyDescent="0.25">
      <c r="A241" s="118">
        <v>2</v>
      </c>
      <c r="B241" s="122">
        <v>2000842700000</v>
      </c>
      <c r="C241" s="121" t="s">
        <v>205</v>
      </c>
      <c r="D241" s="93"/>
      <c r="E241" s="123" t="s">
        <v>26</v>
      </c>
      <c r="F241" s="123">
        <v>1</v>
      </c>
      <c r="G241" s="106">
        <v>139</v>
      </c>
      <c r="H241" s="106">
        <f t="shared" si="12"/>
        <v>11.815000000000001</v>
      </c>
      <c r="I241" s="107">
        <f>Tabell5[[#This Row],[NOK]]*Tabell5[[#This Row],[QTY]]</f>
        <v>0</v>
      </c>
      <c r="J241" s="107">
        <f>Tabell5[[#This Row],[EURO]]*Tabell5[[#This Row],[QTY]]</f>
        <v>0</v>
      </c>
      <c r="K241" s="141">
        <v>10106</v>
      </c>
    </row>
    <row r="242" spans="1:14" outlineLevel="1" x14ac:dyDescent="0.25">
      <c r="A242" s="130">
        <v>3</v>
      </c>
      <c r="B242" s="122">
        <v>2000482000000</v>
      </c>
      <c r="C242" s="121" t="s">
        <v>206</v>
      </c>
      <c r="D242" s="93"/>
      <c r="E242" s="123" t="s">
        <v>26</v>
      </c>
      <c r="F242" s="123">
        <v>1</v>
      </c>
      <c r="G242" s="106">
        <v>109</v>
      </c>
      <c r="H242" s="106">
        <f t="shared" si="12"/>
        <v>9.2650000000000006</v>
      </c>
      <c r="I242" s="107">
        <f>Tabell5[[#This Row],[NOK]]*Tabell5[[#This Row],[QTY]]</f>
        <v>0</v>
      </c>
      <c r="J242" s="107">
        <f>Tabell5[[#This Row],[EURO]]*Tabell5[[#This Row],[QTY]]</f>
        <v>0</v>
      </c>
      <c r="K242" s="141">
        <v>1964</v>
      </c>
    </row>
    <row r="243" spans="1:14" outlineLevel="1" x14ac:dyDescent="0.25">
      <c r="A243" s="118">
        <v>4</v>
      </c>
      <c r="B243" s="122">
        <v>7037204190384</v>
      </c>
      <c r="C243" s="121" t="s">
        <v>207</v>
      </c>
      <c r="D243" s="93"/>
      <c r="E243" s="105" t="s">
        <v>24</v>
      </c>
      <c r="F243" s="123">
        <v>1</v>
      </c>
      <c r="G243" s="106">
        <v>99.9</v>
      </c>
      <c r="H243" s="106">
        <f t="shared" si="12"/>
        <v>8.4915000000000003</v>
      </c>
      <c r="I243" s="107">
        <f>Tabell5[[#This Row],[NOK]]*Tabell5[[#This Row],[QTY]]</f>
        <v>0</v>
      </c>
      <c r="J243" s="107">
        <f>Tabell5[[#This Row],[EURO]]*Tabell5[[#This Row],[QTY]]</f>
        <v>0</v>
      </c>
      <c r="K243" s="141">
        <v>1889</v>
      </c>
    </row>
    <row r="244" spans="1:14" outlineLevel="1" x14ac:dyDescent="0.25">
      <c r="A244" s="130">
        <v>5</v>
      </c>
      <c r="B244" s="122">
        <v>2000841100000</v>
      </c>
      <c r="C244" s="121" t="s">
        <v>208</v>
      </c>
      <c r="D244" s="93"/>
      <c r="E244" s="123" t="s">
        <v>26</v>
      </c>
      <c r="F244" s="123">
        <v>1</v>
      </c>
      <c r="G244" s="106">
        <v>89</v>
      </c>
      <c r="H244" s="106">
        <f t="shared" si="12"/>
        <v>7.5650000000000004</v>
      </c>
      <c r="I244" s="107">
        <f>Tabell5[[#This Row],[NOK]]*Tabell5[[#This Row],[QTY]]</f>
        <v>0</v>
      </c>
      <c r="J244" s="107">
        <f>Tabell5[[#This Row],[EURO]]*Tabell5[[#This Row],[QTY]]</f>
        <v>0</v>
      </c>
      <c r="K244" s="141">
        <v>16669</v>
      </c>
    </row>
    <row r="245" spans="1:14" outlineLevel="1" x14ac:dyDescent="0.25">
      <c r="A245" s="118">
        <v>6</v>
      </c>
      <c r="B245" s="122">
        <v>2000333200000</v>
      </c>
      <c r="C245" s="121" t="s">
        <v>209</v>
      </c>
      <c r="D245" s="93"/>
      <c r="E245" s="123" t="s">
        <v>26</v>
      </c>
      <c r="F245" s="123">
        <v>1</v>
      </c>
      <c r="G245" s="106">
        <v>169</v>
      </c>
      <c r="H245" s="106">
        <f t="shared" si="12"/>
        <v>14.365</v>
      </c>
      <c r="I245" s="107">
        <f>Tabell5[[#This Row],[NOK]]*Tabell5[[#This Row],[QTY]]</f>
        <v>0</v>
      </c>
      <c r="J245" s="107">
        <f>Tabell5[[#This Row],[EURO]]*Tabell5[[#This Row],[QTY]]</f>
        <v>0</v>
      </c>
      <c r="K245" s="141">
        <v>15464</v>
      </c>
    </row>
    <row r="246" spans="1:14" outlineLevel="1" x14ac:dyDescent="0.25">
      <c r="A246" s="130">
        <v>7</v>
      </c>
      <c r="B246" s="122">
        <v>2000824700000</v>
      </c>
      <c r="C246" s="121" t="s">
        <v>210</v>
      </c>
      <c r="D246" s="93"/>
      <c r="E246" s="123" t="s">
        <v>26</v>
      </c>
      <c r="F246" s="123">
        <v>1</v>
      </c>
      <c r="G246" s="106">
        <v>399</v>
      </c>
      <c r="H246" s="106">
        <f t="shared" si="12"/>
        <v>33.914999999999999</v>
      </c>
      <c r="I246" s="107">
        <f>Tabell5[[#This Row],[NOK]]*Tabell5[[#This Row],[QTY]]</f>
        <v>0</v>
      </c>
      <c r="J246" s="107">
        <f>Tabell5[[#This Row],[EURO]]*Tabell5[[#This Row],[QTY]]</f>
        <v>0</v>
      </c>
      <c r="K246" s="141">
        <v>14806</v>
      </c>
    </row>
    <row r="247" spans="1:14" outlineLevel="1" x14ac:dyDescent="0.25">
      <c r="A247" s="118">
        <v>8</v>
      </c>
      <c r="B247" s="122">
        <v>7090013710013</v>
      </c>
      <c r="C247" s="121" t="s">
        <v>211</v>
      </c>
      <c r="D247" s="93"/>
      <c r="E247" s="105" t="s">
        <v>24</v>
      </c>
      <c r="F247" s="123">
        <v>1</v>
      </c>
      <c r="G247" s="106">
        <v>219</v>
      </c>
      <c r="H247" s="106">
        <f t="shared" si="12"/>
        <v>18.615000000000002</v>
      </c>
      <c r="I247" s="107">
        <f>Tabell5[[#This Row],[NOK]]*Tabell5[[#This Row],[QTY]]</f>
        <v>0</v>
      </c>
      <c r="J247" s="107">
        <f>Tabell5[[#This Row],[EURO]]*Tabell5[[#This Row],[QTY]]</f>
        <v>0</v>
      </c>
      <c r="K247" s="141">
        <v>13724506</v>
      </c>
      <c r="N247" s="68" t="s">
        <v>38</v>
      </c>
    </row>
    <row r="248" spans="1:14" outlineLevel="1" x14ac:dyDescent="0.25">
      <c r="A248" s="130">
        <v>9</v>
      </c>
      <c r="B248" s="122">
        <v>8711367630381</v>
      </c>
      <c r="C248" s="121" t="s">
        <v>212</v>
      </c>
      <c r="D248" s="93"/>
      <c r="E248" s="105" t="s">
        <v>24</v>
      </c>
      <c r="F248" s="123">
        <v>1</v>
      </c>
      <c r="G248" s="106">
        <v>54</v>
      </c>
      <c r="H248" s="106">
        <f t="shared" si="12"/>
        <v>4.5900000000000007</v>
      </c>
      <c r="I248" s="107">
        <f>Tabell5[[#This Row],[NOK]]*Tabell5[[#This Row],[QTY]]</f>
        <v>0</v>
      </c>
      <c r="J248" s="107">
        <f>Tabell5[[#This Row],[EURO]]*Tabell5[[#This Row],[QTY]]</f>
        <v>0</v>
      </c>
      <c r="K248" s="141">
        <v>16614</v>
      </c>
    </row>
    <row r="249" spans="1:14" outlineLevel="1" x14ac:dyDescent="0.25">
      <c r="A249" s="118">
        <v>10</v>
      </c>
      <c r="B249" s="122">
        <v>2000719000000</v>
      </c>
      <c r="C249" s="121" t="s">
        <v>213</v>
      </c>
      <c r="D249" s="93"/>
      <c r="E249" s="123" t="s">
        <v>26</v>
      </c>
      <c r="F249" s="123">
        <v>1</v>
      </c>
      <c r="G249" s="106">
        <v>109</v>
      </c>
      <c r="H249" s="106">
        <f t="shared" si="12"/>
        <v>9.2650000000000006</v>
      </c>
      <c r="I249" s="107">
        <f>Tabell5[[#This Row],[NOK]]*Tabell5[[#This Row],[QTY]]</f>
        <v>0</v>
      </c>
      <c r="J249" s="107">
        <f>Tabell5[[#This Row],[EURO]]*Tabell5[[#This Row],[QTY]]</f>
        <v>0</v>
      </c>
      <c r="K249" s="141">
        <v>17794</v>
      </c>
    </row>
    <row r="250" spans="1:14" outlineLevel="1" x14ac:dyDescent="0.25">
      <c r="A250" s="130">
        <v>11</v>
      </c>
      <c r="B250" s="122">
        <v>7898040081614</v>
      </c>
      <c r="C250" s="121" t="s">
        <v>214</v>
      </c>
      <c r="D250" s="93"/>
      <c r="E250" s="105" t="s">
        <v>24</v>
      </c>
      <c r="F250" s="123">
        <v>1</v>
      </c>
      <c r="G250" s="106">
        <v>229</v>
      </c>
      <c r="H250" s="106">
        <f t="shared" si="12"/>
        <v>19.465</v>
      </c>
      <c r="I250" s="107">
        <f>Tabell5[[#This Row],[NOK]]*Tabell5[[#This Row],[QTY]]</f>
        <v>0</v>
      </c>
      <c r="J250" s="107">
        <f>Tabell5[[#This Row],[EURO]]*Tabell5[[#This Row],[QTY]]</f>
        <v>0</v>
      </c>
      <c r="K250" s="141">
        <v>1865</v>
      </c>
    </row>
    <row r="251" spans="1:14" outlineLevel="1" x14ac:dyDescent="0.25">
      <c r="A251" s="118">
        <v>12</v>
      </c>
      <c r="B251" s="122">
        <v>7300321338008</v>
      </c>
      <c r="C251" s="121" t="s">
        <v>215</v>
      </c>
      <c r="D251" s="93"/>
      <c r="E251" s="105" t="s">
        <v>24</v>
      </c>
      <c r="F251" s="123">
        <v>1</v>
      </c>
      <c r="G251" s="106">
        <v>199</v>
      </c>
      <c r="H251" s="106">
        <f t="shared" si="12"/>
        <v>16.915000000000003</v>
      </c>
      <c r="I251" s="107">
        <f>Tabell5[[#This Row],[NOK]]*Tabell5[[#This Row],[QTY]]</f>
        <v>0</v>
      </c>
      <c r="J251" s="107">
        <f>Tabell5[[#This Row],[EURO]]*Tabell5[[#This Row],[QTY]]</f>
        <v>0</v>
      </c>
      <c r="K251" s="141">
        <v>1867</v>
      </c>
    </row>
    <row r="252" spans="1:14" outlineLevel="1" x14ac:dyDescent="0.25">
      <c r="A252" s="130">
        <v>13</v>
      </c>
      <c r="B252" s="122">
        <v>5760725113274</v>
      </c>
      <c r="C252" s="121" t="s">
        <v>216</v>
      </c>
      <c r="D252" s="93"/>
      <c r="E252" s="105" t="s">
        <v>24</v>
      </c>
      <c r="F252" s="123">
        <v>1</v>
      </c>
      <c r="G252" s="106">
        <v>129</v>
      </c>
      <c r="H252" s="106">
        <f t="shared" si="12"/>
        <v>10.965000000000002</v>
      </c>
      <c r="I252" s="107">
        <f>Tabell5[[#This Row],[NOK]]*Tabell5[[#This Row],[QTY]]</f>
        <v>0</v>
      </c>
      <c r="J252" s="107">
        <f>Tabell5[[#This Row],[EURO]]*Tabell5[[#This Row],[QTY]]</f>
        <v>0</v>
      </c>
      <c r="K252" s="141">
        <v>4329694</v>
      </c>
    </row>
    <row r="253" spans="1:14" outlineLevel="1" x14ac:dyDescent="0.25">
      <c r="A253" s="118">
        <v>14</v>
      </c>
      <c r="B253" s="122">
        <v>5760725207430</v>
      </c>
      <c r="C253" s="121" t="s">
        <v>217</v>
      </c>
      <c r="D253" s="93"/>
      <c r="E253" s="105" t="s">
        <v>24</v>
      </c>
      <c r="F253" s="123">
        <v>1</v>
      </c>
      <c r="G253" s="106">
        <v>79.900000000000006</v>
      </c>
      <c r="H253" s="106">
        <f t="shared" si="12"/>
        <v>6.791500000000001</v>
      </c>
      <c r="I253" s="107">
        <f>Tabell5[[#This Row],[NOK]]*Tabell5[[#This Row],[QTY]]</f>
        <v>0</v>
      </c>
      <c r="J253" s="107">
        <f>Tabell5[[#This Row],[EURO]]*Tabell5[[#This Row],[QTY]]</f>
        <v>0</v>
      </c>
      <c r="K253" s="141">
        <v>1864</v>
      </c>
    </row>
    <row r="254" spans="1:14" outlineLevel="1" x14ac:dyDescent="0.25">
      <c r="A254" s="130">
        <v>15</v>
      </c>
      <c r="B254" s="122">
        <v>2667209000000</v>
      </c>
      <c r="C254" s="121" t="s">
        <v>218</v>
      </c>
      <c r="D254" s="93"/>
      <c r="E254" s="123" t="s">
        <v>26</v>
      </c>
      <c r="F254" s="123">
        <v>1</v>
      </c>
      <c r="G254" s="128">
        <v>177.95</v>
      </c>
      <c r="H254" s="106">
        <f t="shared" si="12"/>
        <v>15.12575</v>
      </c>
      <c r="I254" s="107">
        <f>Tabell5[[#This Row],[NOK]]*Tabell5[[#This Row],[QTY]]</f>
        <v>0</v>
      </c>
      <c r="J254" s="107">
        <f>Tabell5[[#This Row],[EURO]]*Tabell5[[#This Row],[QTY]]</f>
        <v>0</v>
      </c>
      <c r="K254" s="141">
        <v>2565224</v>
      </c>
    </row>
    <row r="255" spans="1:14" outlineLevel="1" x14ac:dyDescent="0.25">
      <c r="A255" s="118">
        <v>16</v>
      </c>
      <c r="B255" s="122">
        <v>2085930000000</v>
      </c>
      <c r="C255" s="121" t="s">
        <v>219</v>
      </c>
      <c r="D255" s="93"/>
      <c r="E255" s="123" t="s">
        <v>26</v>
      </c>
      <c r="F255" s="123">
        <v>1</v>
      </c>
      <c r="G255" s="128">
        <v>499</v>
      </c>
      <c r="H255" s="106">
        <f t="shared" si="12"/>
        <v>42.415000000000006</v>
      </c>
      <c r="I255" s="107">
        <f>Tabell5[[#This Row],[NOK]]*Tabell5[[#This Row],[QTY]]</f>
        <v>0</v>
      </c>
      <c r="J255" s="107">
        <f>Tabell5[[#This Row],[EURO]]*Tabell5[[#This Row],[QTY]]</f>
        <v>0</v>
      </c>
      <c r="K255" s="141">
        <v>2565224</v>
      </c>
    </row>
    <row r="256" spans="1:14" outlineLevel="1" x14ac:dyDescent="0.25">
      <c r="A256" s="130">
        <v>17</v>
      </c>
      <c r="B256" s="122">
        <v>2001538000000</v>
      </c>
      <c r="C256" s="121" t="s">
        <v>220</v>
      </c>
      <c r="D256" s="93"/>
      <c r="E256" s="123" t="s">
        <v>26</v>
      </c>
      <c r="F256" s="123">
        <v>1</v>
      </c>
      <c r="G256" s="106">
        <v>319</v>
      </c>
      <c r="H256" s="106">
        <f t="shared" si="12"/>
        <v>27.115000000000002</v>
      </c>
      <c r="I256" s="107">
        <f>Tabell5[[#This Row],[NOK]]*Tabell5[[#This Row],[QTY]]</f>
        <v>0</v>
      </c>
      <c r="J256" s="107">
        <f>Tabell5[[#This Row],[EURO]]*Tabell5[[#This Row],[QTY]]</f>
        <v>0</v>
      </c>
      <c r="K256" s="141">
        <v>17685</v>
      </c>
    </row>
    <row r="257" spans="1:11" outlineLevel="1" x14ac:dyDescent="0.25">
      <c r="A257" s="118">
        <v>18</v>
      </c>
      <c r="B257" s="122">
        <v>470999</v>
      </c>
      <c r="C257" s="121" t="s">
        <v>221</v>
      </c>
      <c r="D257" s="93"/>
      <c r="E257" s="105" t="s">
        <v>24</v>
      </c>
      <c r="F257" s="123">
        <v>1</v>
      </c>
      <c r="G257" s="106">
        <v>727.4</v>
      </c>
      <c r="H257" s="106">
        <f t="shared" si="12"/>
        <v>61.829000000000001</v>
      </c>
      <c r="I257" s="107">
        <f>Tabell5[[#This Row],[NOK]]*Tabell5[[#This Row],[QTY]]</f>
        <v>0</v>
      </c>
      <c r="J257" s="107">
        <f>Tabell5[[#This Row],[EURO]]*Tabell5[[#This Row],[QTY]]</f>
        <v>0</v>
      </c>
      <c r="K257" s="141">
        <v>16734</v>
      </c>
    </row>
    <row r="258" spans="1:11" outlineLevel="1" x14ac:dyDescent="0.25">
      <c r="A258" s="130">
        <v>19</v>
      </c>
      <c r="B258" s="122">
        <v>471007</v>
      </c>
      <c r="C258" s="121" t="s">
        <v>222</v>
      </c>
      <c r="D258" s="93"/>
      <c r="E258" s="123" t="s">
        <v>26</v>
      </c>
      <c r="F258" s="123">
        <v>1</v>
      </c>
      <c r="G258" s="106">
        <v>199</v>
      </c>
      <c r="H258" s="106">
        <f t="shared" si="12"/>
        <v>16.915000000000003</v>
      </c>
      <c r="I258" s="107">
        <f>Tabell5[[#This Row],[NOK]]*Tabell5[[#This Row],[QTY]]</f>
        <v>0</v>
      </c>
      <c r="J258" s="107">
        <f>Tabell5[[#This Row],[EURO]]*Tabell5[[#This Row],[QTY]]</f>
        <v>0</v>
      </c>
      <c r="K258" s="141">
        <v>11187123</v>
      </c>
    </row>
    <row r="259" spans="1:11" outlineLevel="1" x14ac:dyDescent="0.25">
      <c r="A259" s="118">
        <v>20</v>
      </c>
      <c r="B259" s="122">
        <v>471006</v>
      </c>
      <c r="C259" s="121" t="s">
        <v>223</v>
      </c>
      <c r="D259" s="93"/>
      <c r="E259" s="123" t="s">
        <v>26</v>
      </c>
      <c r="F259" s="123">
        <v>1</v>
      </c>
      <c r="G259" s="106">
        <v>249</v>
      </c>
      <c r="H259" s="106">
        <f t="shared" si="12"/>
        <v>21.165000000000003</v>
      </c>
      <c r="I259" s="107">
        <f>Tabell5[[#This Row],[NOK]]*Tabell5[[#This Row],[QTY]]</f>
        <v>0</v>
      </c>
      <c r="J259" s="107">
        <f>Tabell5[[#This Row],[EURO]]*Tabell5[[#This Row],[QTY]]</f>
        <v>0</v>
      </c>
      <c r="K259" s="141">
        <v>17032</v>
      </c>
    </row>
    <row r="260" spans="1:11" outlineLevel="1" x14ac:dyDescent="0.25">
      <c r="A260" s="130">
        <v>21</v>
      </c>
      <c r="B260" s="122">
        <v>2000241000000</v>
      </c>
      <c r="C260" s="121" t="s">
        <v>224</v>
      </c>
      <c r="D260" s="93"/>
      <c r="E260" s="123" t="s">
        <v>26</v>
      </c>
      <c r="F260" s="123">
        <v>1</v>
      </c>
      <c r="G260" s="106">
        <v>269</v>
      </c>
      <c r="H260" s="106">
        <f t="shared" si="12"/>
        <v>22.865000000000002</v>
      </c>
      <c r="I260" s="107">
        <f>Tabell5[[#This Row],[NOK]]*Tabell5[[#This Row],[QTY]]</f>
        <v>0</v>
      </c>
      <c r="J260" s="107">
        <f>Tabell5[[#This Row],[EURO]]*Tabell5[[#This Row],[QTY]]</f>
        <v>0</v>
      </c>
      <c r="K260" s="141"/>
    </row>
    <row r="261" spans="1:11" outlineLevel="1" x14ac:dyDescent="0.25">
      <c r="A261" s="118">
        <v>22</v>
      </c>
      <c r="B261" s="122">
        <v>7340011450665</v>
      </c>
      <c r="C261" s="121" t="s">
        <v>225</v>
      </c>
      <c r="D261" s="93"/>
      <c r="E261" s="105" t="s">
        <v>24</v>
      </c>
      <c r="F261" s="123">
        <v>1</v>
      </c>
      <c r="G261" s="106">
        <v>88.9</v>
      </c>
      <c r="H261" s="106">
        <f t="shared" si="12"/>
        <v>7.5565000000000007</v>
      </c>
      <c r="I261" s="107">
        <f>Tabell5[[#This Row],[NOK]]*Tabell5[[#This Row],[QTY]]</f>
        <v>0</v>
      </c>
      <c r="J261" s="107">
        <f>Tabell5[[#This Row],[EURO]]*Tabell5[[#This Row],[QTY]]</f>
        <v>0</v>
      </c>
      <c r="K261" s="141"/>
    </row>
    <row r="262" spans="1:11" outlineLevel="1" x14ac:dyDescent="0.25">
      <c r="A262" s="118">
        <v>23</v>
      </c>
      <c r="B262" s="133">
        <v>7310500068770</v>
      </c>
      <c r="C262" s="121" t="s">
        <v>226</v>
      </c>
      <c r="D262" s="93"/>
      <c r="E262" s="123" t="s">
        <v>24</v>
      </c>
      <c r="F262" s="123">
        <v>1</v>
      </c>
      <c r="G262" s="128">
        <v>1499</v>
      </c>
      <c r="H262" s="106">
        <f t="shared" si="12"/>
        <v>127.41500000000001</v>
      </c>
      <c r="I262" s="107">
        <f>Tabell5[[#This Row],[NOK]]*Tabell5[[#This Row],[QTY]]</f>
        <v>0</v>
      </c>
      <c r="J262" s="107">
        <f>Tabell5[[#This Row],[EURO]]*Tabell5[[#This Row],[QTY]]</f>
        <v>0</v>
      </c>
      <c r="K262" s="141">
        <v>1663202</v>
      </c>
    </row>
    <row r="263" spans="1:11" outlineLevel="1" x14ac:dyDescent="0.25">
      <c r="A263" s="130">
        <v>24</v>
      </c>
      <c r="B263" s="136">
        <v>471022</v>
      </c>
      <c r="C263" s="121" t="s">
        <v>227</v>
      </c>
      <c r="D263" s="93"/>
      <c r="E263" s="123" t="s">
        <v>24</v>
      </c>
      <c r="F263" s="123">
        <v>1</v>
      </c>
      <c r="G263" s="128">
        <v>1199</v>
      </c>
      <c r="H263" s="106">
        <f t="shared" si="12"/>
        <v>101.91500000000001</v>
      </c>
      <c r="I263" s="107">
        <f>Tabell5[[#This Row],[NOK]]*Tabell5[[#This Row],[QTY]]</f>
        <v>0</v>
      </c>
      <c r="J263" s="107">
        <f>Tabell5[[#This Row],[EURO]]*Tabell5[[#This Row],[QTY]]</f>
        <v>0</v>
      </c>
      <c r="K263" s="141">
        <v>732487</v>
      </c>
    </row>
    <row r="264" spans="1:11" outlineLevel="1" x14ac:dyDescent="0.25">
      <c r="A264" s="118">
        <v>25</v>
      </c>
      <c r="B264" s="133">
        <v>27035620003473</v>
      </c>
      <c r="C264" s="121" t="s">
        <v>228</v>
      </c>
      <c r="D264" s="93"/>
      <c r="E264" s="123" t="s">
        <v>24</v>
      </c>
      <c r="F264" s="123">
        <v>1</v>
      </c>
      <c r="G264" s="128">
        <v>1999</v>
      </c>
      <c r="H264" s="106">
        <f t="shared" si="12"/>
        <v>169.91500000000002</v>
      </c>
      <c r="I264" s="107">
        <f>Tabell5[[#This Row],[NOK]]*Tabell5[[#This Row],[QTY]]</f>
        <v>0</v>
      </c>
      <c r="J264" s="107">
        <f>Tabell5[[#This Row],[EURO]]*Tabell5[[#This Row],[QTY]]</f>
        <v>0</v>
      </c>
      <c r="K264" s="141">
        <v>3102092</v>
      </c>
    </row>
    <row r="265" spans="1:11" outlineLevel="1" x14ac:dyDescent="0.25">
      <c r="A265" s="132">
        <v>26</v>
      </c>
      <c r="B265" s="133">
        <v>7036260011664</v>
      </c>
      <c r="C265" s="134" t="s">
        <v>229</v>
      </c>
      <c r="D265" s="93"/>
      <c r="E265" s="123" t="s">
        <v>24</v>
      </c>
      <c r="F265" s="123">
        <v>1</v>
      </c>
      <c r="G265" s="128">
        <v>1599</v>
      </c>
      <c r="H265" s="106">
        <f t="shared" si="12"/>
        <v>135.91500000000002</v>
      </c>
      <c r="I265" s="107">
        <f>Tabell5[[#This Row],[NOK]]*Tabell5[[#This Row],[QTY]]</f>
        <v>0</v>
      </c>
      <c r="J265" s="107">
        <f>Tabell5[[#This Row],[EURO]]*Tabell5[[#This Row],[QTY]]</f>
        <v>0</v>
      </c>
      <c r="K265" s="141">
        <v>379438</v>
      </c>
    </row>
    <row r="266" spans="1:11" outlineLevel="1" x14ac:dyDescent="0.25">
      <c r="A266" s="135">
        <v>27</v>
      </c>
      <c r="B266" s="133">
        <v>97036260000760</v>
      </c>
      <c r="C266" s="134" t="s">
        <v>230</v>
      </c>
      <c r="D266" s="93"/>
      <c r="E266" s="123" t="s">
        <v>24</v>
      </c>
      <c r="F266" s="123">
        <v>1</v>
      </c>
      <c r="G266" s="128">
        <v>1999</v>
      </c>
      <c r="H266" s="106">
        <f t="shared" si="12"/>
        <v>169.91500000000002</v>
      </c>
      <c r="I266" s="107">
        <f>Tabell5[[#This Row],[NOK]]*Tabell5[[#This Row],[QTY]]</f>
        <v>0</v>
      </c>
      <c r="J266" s="107">
        <f>Tabell5[[#This Row],[EURO]]*Tabell5[[#This Row],[QTY]]</f>
        <v>0</v>
      </c>
      <c r="K266" s="141">
        <v>2094589</v>
      </c>
    </row>
    <row r="267" spans="1:11" outlineLevel="1" x14ac:dyDescent="0.25">
      <c r="A267" s="132">
        <v>28</v>
      </c>
      <c r="B267" s="133">
        <v>97033352096052</v>
      </c>
      <c r="C267" s="134" t="s">
        <v>231</v>
      </c>
      <c r="D267" s="93"/>
      <c r="E267" s="123" t="s">
        <v>24</v>
      </c>
      <c r="F267" s="123">
        <v>1</v>
      </c>
      <c r="G267" s="128">
        <v>2985</v>
      </c>
      <c r="H267" s="106">
        <f t="shared" si="12"/>
        <v>253.72500000000002</v>
      </c>
      <c r="I267" s="107">
        <f>Tabell5[[#This Row],[NOK]]*Tabell5[[#This Row],[QTY]]</f>
        <v>0</v>
      </c>
      <c r="J267" s="107">
        <f>Tabell5[[#This Row],[EURO]]*Tabell5[[#This Row],[QTY]]</f>
        <v>0</v>
      </c>
      <c r="K267" s="141">
        <v>4732582</v>
      </c>
    </row>
    <row r="268" spans="1:11" outlineLevel="1" x14ac:dyDescent="0.25">
      <c r="A268" s="135">
        <v>29</v>
      </c>
      <c r="B268" s="133">
        <v>7036260116017</v>
      </c>
      <c r="C268" s="134" t="s">
        <v>232</v>
      </c>
      <c r="D268" s="93"/>
      <c r="E268" s="123" t="s">
        <v>24</v>
      </c>
      <c r="F268" s="123">
        <v>1</v>
      </c>
      <c r="G268" s="128">
        <v>1399</v>
      </c>
      <c r="H268" s="106">
        <f t="shared" si="12"/>
        <v>118.91500000000001</v>
      </c>
      <c r="I268" s="107">
        <f>Tabell5[[#This Row],[NOK]]*Tabell5[[#This Row],[QTY]]</f>
        <v>0</v>
      </c>
      <c r="J268" s="107">
        <f>Tabell5[[#This Row],[EURO]]*Tabell5[[#This Row],[QTY]]</f>
        <v>0</v>
      </c>
      <c r="K268" s="141">
        <v>1525856</v>
      </c>
    </row>
    <row r="269" spans="1:11" outlineLevel="1" x14ac:dyDescent="0.25">
      <c r="A269" s="132">
        <v>30</v>
      </c>
      <c r="B269" s="133">
        <v>7036261015661</v>
      </c>
      <c r="C269" s="134" t="s">
        <v>233</v>
      </c>
      <c r="D269" s="93"/>
      <c r="E269" s="123" t="s">
        <v>24</v>
      </c>
      <c r="F269" s="123">
        <v>1</v>
      </c>
      <c r="G269" s="128">
        <v>999</v>
      </c>
      <c r="H269" s="106">
        <f t="shared" si="12"/>
        <v>84.915000000000006</v>
      </c>
      <c r="I269" s="107">
        <f>Tabell5[[#This Row],[NOK]]*Tabell5[[#This Row],[QTY]]</f>
        <v>0</v>
      </c>
      <c r="J269" s="107">
        <f>Tabell5[[#This Row],[EURO]]*Tabell5[[#This Row],[QTY]]</f>
        <v>0</v>
      </c>
      <c r="K269" s="141">
        <v>1473453</v>
      </c>
    </row>
    <row r="270" spans="1:11" outlineLevel="1" x14ac:dyDescent="0.25">
      <c r="A270" s="135">
        <v>31</v>
      </c>
      <c r="B270" s="133">
        <v>7021430000883</v>
      </c>
      <c r="C270" s="134" t="s">
        <v>234</v>
      </c>
      <c r="D270" s="93"/>
      <c r="E270" s="123" t="s">
        <v>24</v>
      </c>
      <c r="F270" s="123">
        <v>1</v>
      </c>
      <c r="G270" s="128">
        <v>899</v>
      </c>
      <c r="H270" s="106">
        <f t="shared" si="12"/>
        <v>76.415000000000006</v>
      </c>
      <c r="I270" s="107">
        <f>Tabell5[[#This Row],[NOK]]*Tabell5[[#This Row],[QTY]]</f>
        <v>0</v>
      </c>
      <c r="J270" s="107">
        <f>Tabell5[[#This Row],[EURO]]*Tabell5[[#This Row],[QTY]]</f>
        <v>0</v>
      </c>
      <c r="K270" s="141">
        <v>612275</v>
      </c>
    </row>
    <row r="271" spans="1:11" outlineLevel="1" x14ac:dyDescent="0.25">
      <c r="A271" s="132">
        <v>32</v>
      </c>
      <c r="B271" s="133">
        <v>7090010090064</v>
      </c>
      <c r="C271" s="134" t="s">
        <v>235</v>
      </c>
      <c r="D271" s="93"/>
      <c r="E271" s="123" t="s">
        <v>24</v>
      </c>
      <c r="F271" s="123">
        <v>1</v>
      </c>
      <c r="G271" s="128">
        <v>1899</v>
      </c>
      <c r="H271" s="106">
        <f t="shared" si="12"/>
        <v>161.41500000000002</v>
      </c>
      <c r="I271" s="107">
        <f>Tabell5[[#This Row],[NOK]]*Tabell5[[#This Row],[QTY]]</f>
        <v>0</v>
      </c>
      <c r="J271" s="107">
        <f>Tabell5[[#This Row],[EURO]]*Tabell5[[#This Row],[QTY]]</f>
        <v>0</v>
      </c>
      <c r="K271" s="141">
        <v>1834910</v>
      </c>
    </row>
    <row r="272" spans="1:11" outlineLevel="1" x14ac:dyDescent="0.25">
      <c r="A272" s="135">
        <v>33</v>
      </c>
      <c r="B272" s="133">
        <v>97090016861197</v>
      </c>
      <c r="C272" s="134" t="s">
        <v>236</v>
      </c>
      <c r="D272" s="93"/>
      <c r="E272" s="123" t="s">
        <v>24</v>
      </c>
      <c r="F272" s="123">
        <v>1</v>
      </c>
      <c r="G272" s="128">
        <v>1999</v>
      </c>
      <c r="H272" s="106">
        <f t="shared" ref="H272:H303" si="13">G272*$N$1</f>
        <v>169.91500000000002</v>
      </c>
      <c r="I272" s="107">
        <f>Tabell5[[#This Row],[NOK]]*Tabell5[[#This Row],[QTY]]</f>
        <v>0</v>
      </c>
      <c r="J272" s="107">
        <f>Tabell5[[#This Row],[EURO]]*Tabell5[[#This Row],[QTY]]</f>
        <v>0</v>
      </c>
      <c r="K272" s="141">
        <v>4930079</v>
      </c>
    </row>
    <row r="273" spans="1:11" outlineLevel="1" x14ac:dyDescent="0.25">
      <c r="A273" s="132">
        <v>34</v>
      </c>
      <c r="B273" s="133">
        <v>7036261156500</v>
      </c>
      <c r="C273" s="134" t="s">
        <v>237</v>
      </c>
      <c r="D273" s="93"/>
      <c r="E273" s="123" t="s">
        <v>24</v>
      </c>
      <c r="F273" s="123">
        <v>1</v>
      </c>
      <c r="G273" s="128">
        <v>1199</v>
      </c>
      <c r="H273" s="106">
        <f t="shared" si="13"/>
        <v>101.91500000000001</v>
      </c>
      <c r="I273" s="107">
        <f>Tabell5[[#This Row],[NOK]]*Tabell5[[#This Row],[QTY]]</f>
        <v>0</v>
      </c>
      <c r="J273" s="107">
        <f>Tabell5[[#This Row],[EURO]]*Tabell5[[#This Row],[QTY]]</f>
        <v>0</v>
      </c>
      <c r="K273" s="141">
        <v>830695</v>
      </c>
    </row>
    <row r="274" spans="1:11" outlineLevel="1" x14ac:dyDescent="0.25">
      <c r="A274" s="135">
        <v>35</v>
      </c>
      <c r="B274" s="133">
        <v>7035620049224</v>
      </c>
      <c r="C274" s="134" t="s">
        <v>238</v>
      </c>
      <c r="D274" s="93"/>
      <c r="E274" s="123" t="s">
        <v>26</v>
      </c>
      <c r="F274" s="123">
        <v>1</v>
      </c>
      <c r="G274" s="128">
        <v>349</v>
      </c>
      <c r="H274" s="106">
        <f t="shared" si="13"/>
        <v>29.665000000000003</v>
      </c>
      <c r="I274" s="107">
        <f>Tabell5[[#This Row],[NOK]]*Tabell5[[#This Row],[QTY]]</f>
        <v>0</v>
      </c>
      <c r="J274" s="107">
        <f>Tabell5[[#This Row],[EURO]]*Tabell5[[#This Row],[QTY]]</f>
        <v>0</v>
      </c>
      <c r="K274" s="141">
        <v>3232733</v>
      </c>
    </row>
    <row r="275" spans="1:11" outlineLevel="1" x14ac:dyDescent="0.25">
      <c r="A275" s="132">
        <v>36</v>
      </c>
      <c r="B275" s="122">
        <v>7021450005110</v>
      </c>
      <c r="C275" s="134" t="s">
        <v>239</v>
      </c>
      <c r="D275" s="93"/>
      <c r="E275" s="105" t="s">
        <v>24</v>
      </c>
      <c r="F275" s="123">
        <v>1</v>
      </c>
      <c r="G275" s="106">
        <v>69.900000000000006</v>
      </c>
      <c r="H275" s="106">
        <f t="shared" si="13"/>
        <v>5.9415000000000013</v>
      </c>
      <c r="I275" s="107">
        <f>Tabell5[[#This Row],[NOK]]*Tabell5[[#This Row],[QTY]]</f>
        <v>0</v>
      </c>
      <c r="J275" s="107">
        <f>Tabell5[[#This Row],[EURO]]*Tabell5[[#This Row],[QTY]]</f>
        <v>0</v>
      </c>
      <c r="K275" s="141">
        <v>4993150</v>
      </c>
    </row>
    <row r="276" spans="1:11" outlineLevel="1" x14ac:dyDescent="0.25">
      <c r="A276" s="135">
        <v>37</v>
      </c>
      <c r="B276" s="122">
        <v>570771501196</v>
      </c>
      <c r="C276" s="134" t="s">
        <v>240</v>
      </c>
      <c r="D276" s="93"/>
      <c r="E276" s="105" t="s">
        <v>24</v>
      </c>
      <c r="F276" s="123">
        <v>1</v>
      </c>
      <c r="G276" s="106">
        <v>179</v>
      </c>
      <c r="H276" s="106">
        <f t="shared" si="13"/>
        <v>15.215000000000002</v>
      </c>
      <c r="I276" s="107">
        <f>Tabell5[[#This Row],[NOK]]*Tabell5[[#This Row],[QTY]]</f>
        <v>0</v>
      </c>
      <c r="J276" s="107">
        <f>Tabell5[[#This Row],[EURO]]*Tabell5[[#This Row],[QTY]]</f>
        <v>0</v>
      </c>
      <c r="K276" s="141">
        <v>4227005</v>
      </c>
    </row>
    <row r="277" spans="1:11" outlineLevel="1" x14ac:dyDescent="0.25">
      <c r="A277" s="132">
        <v>38</v>
      </c>
      <c r="B277" s="122">
        <v>5702008130998</v>
      </c>
      <c r="C277" s="134" t="s">
        <v>241</v>
      </c>
      <c r="D277" s="93"/>
      <c r="E277" s="105" t="s">
        <v>24</v>
      </c>
      <c r="F277" s="123">
        <v>1</v>
      </c>
      <c r="G277" s="106">
        <v>119</v>
      </c>
      <c r="H277" s="106">
        <f t="shared" si="13"/>
        <v>10.115</v>
      </c>
      <c r="I277" s="107">
        <f>Tabell5[[#This Row],[NOK]]*Tabell5[[#This Row],[QTY]]</f>
        <v>0</v>
      </c>
      <c r="J277" s="107">
        <f>Tabell5[[#This Row],[EURO]]*Tabell5[[#This Row],[QTY]]</f>
        <v>0</v>
      </c>
      <c r="K277" s="141"/>
    </row>
    <row r="278" spans="1:11" outlineLevel="1" x14ac:dyDescent="0.25">
      <c r="A278" s="118">
        <v>39</v>
      </c>
      <c r="B278" s="122">
        <v>7340011458081</v>
      </c>
      <c r="C278" s="121" t="s">
        <v>242</v>
      </c>
      <c r="D278" s="93"/>
      <c r="E278" s="105" t="s">
        <v>24</v>
      </c>
      <c r="F278" s="123">
        <v>1</v>
      </c>
      <c r="G278" s="106">
        <v>22.9</v>
      </c>
      <c r="H278" s="106">
        <f t="shared" si="13"/>
        <v>1.9465000000000001</v>
      </c>
      <c r="I278" s="107">
        <f>Tabell5[[#This Row],[NOK]]*Tabell5[[#This Row],[QTY]]</f>
        <v>0</v>
      </c>
      <c r="J278" s="107">
        <f>Tabell5[[#This Row],[EURO]]*Tabell5[[#This Row],[QTY]]</f>
        <v>0</v>
      </c>
      <c r="K278" s="141">
        <v>17872</v>
      </c>
    </row>
    <row r="279" spans="1:11" outlineLevel="1" x14ac:dyDescent="0.25">
      <c r="A279" s="130">
        <v>40</v>
      </c>
      <c r="B279" s="122">
        <v>7026510116409</v>
      </c>
      <c r="C279" s="121" t="s">
        <v>243</v>
      </c>
      <c r="D279" s="93"/>
      <c r="E279" s="105" t="s">
        <v>24</v>
      </c>
      <c r="F279" s="123">
        <v>1</v>
      </c>
      <c r="G279" s="106">
        <v>104</v>
      </c>
      <c r="H279" s="106">
        <f t="shared" si="13"/>
        <v>8.84</v>
      </c>
      <c r="I279" s="107">
        <f>Tabell5[[#This Row],[NOK]]*Tabell5[[#This Row],[QTY]]</f>
        <v>0</v>
      </c>
      <c r="J279" s="107">
        <f>Tabell5[[#This Row],[EURO]]*Tabell5[[#This Row],[QTY]]</f>
        <v>0</v>
      </c>
      <c r="K279" s="141">
        <v>1817</v>
      </c>
    </row>
    <row r="280" spans="1:11" outlineLevel="1" x14ac:dyDescent="0.25">
      <c r="A280" s="118">
        <v>41</v>
      </c>
      <c r="B280" s="122">
        <v>7340011442851</v>
      </c>
      <c r="C280" s="121" t="s">
        <v>244</v>
      </c>
      <c r="D280" s="93"/>
      <c r="E280" s="105" t="s">
        <v>24</v>
      </c>
      <c r="F280" s="123">
        <v>1</v>
      </c>
      <c r="G280" s="106">
        <v>20.5</v>
      </c>
      <c r="H280" s="106">
        <f t="shared" si="13"/>
        <v>1.7425000000000002</v>
      </c>
      <c r="I280" s="107">
        <f>Tabell5[[#This Row],[NOK]]*Tabell5[[#This Row],[QTY]]</f>
        <v>0</v>
      </c>
      <c r="J280" s="107">
        <f>Tabell5[[#This Row],[EURO]]*Tabell5[[#This Row],[QTY]]</f>
        <v>0</v>
      </c>
      <c r="K280" s="141"/>
    </row>
    <row r="281" spans="1:11" outlineLevel="1" x14ac:dyDescent="0.25">
      <c r="A281" s="130">
        <v>42</v>
      </c>
      <c r="B281" s="133">
        <v>7026510012343</v>
      </c>
      <c r="C281" s="121" t="s">
        <v>245</v>
      </c>
      <c r="D281" s="93"/>
      <c r="E281" s="123" t="s">
        <v>24</v>
      </c>
      <c r="F281" s="123">
        <v>1</v>
      </c>
      <c r="G281" s="128">
        <v>149</v>
      </c>
      <c r="H281" s="106">
        <f t="shared" si="13"/>
        <v>12.665000000000001</v>
      </c>
      <c r="I281" s="107">
        <f>Tabell5[[#This Row],[NOK]]*Tabell5[[#This Row],[QTY]]</f>
        <v>0</v>
      </c>
      <c r="J281" s="107">
        <f>Tabell5[[#This Row],[EURO]]*Tabell5[[#This Row],[QTY]]</f>
        <v>0</v>
      </c>
      <c r="K281" s="141">
        <v>742429</v>
      </c>
    </row>
    <row r="282" spans="1:11" outlineLevel="1" x14ac:dyDescent="0.25">
      <c r="A282" s="118">
        <v>43</v>
      </c>
      <c r="B282" s="122">
        <v>7025110065407</v>
      </c>
      <c r="C282" s="121" t="s">
        <v>246</v>
      </c>
      <c r="D282" s="93"/>
      <c r="E282" s="105" t="s">
        <v>24</v>
      </c>
      <c r="F282" s="123">
        <v>1</v>
      </c>
      <c r="G282" s="106">
        <v>25.5</v>
      </c>
      <c r="H282" s="106">
        <f t="shared" si="13"/>
        <v>2.1675</v>
      </c>
      <c r="I282" s="107">
        <f>Tabell5[[#This Row],[NOK]]*Tabell5[[#This Row],[QTY]]</f>
        <v>0</v>
      </c>
      <c r="J282" s="107">
        <f>Tabell5[[#This Row],[EURO]]*Tabell5[[#This Row],[QTY]]</f>
        <v>0</v>
      </c>
      <c r="K282" s="141"/>
    </row>
    <row r="283" spans="1:11" outlineLevel="1" x14ac:dyDescent="0.25">
      <c r="A283" s="130">
        <v>44</v>
      </c>
      <c r="B283" s="133">
        <v>7026510119400</v>
      </c>
      <c r="C283" s="121" t="s">
        <v>247</v>
      </c>
      <c r="D283" s="93"/>
      <c r="E283" s="123" t="s">
        <v>24</v>
      </c>
      <c r="F283" s="123">
        <v>1</v>
      </c>
      <c r="G283" s="128">
        <v>149</v>
      </c>
      <c r="H283" s="106">
        <f t="shared" si="13"/>
        <v>12.665000000000001</v>
      </c>
      <c r="I283" s="107">
        <f>Tabell5[[#This Row],[NOK]]*Tabell5[[#This Row],[QTY]]</f>
        <v>0</v>
      </c>
      <c r="J283" s="107">
        <f>Tabell5[[#This Row],[EURO]]*Tabell5[[#This Row],[QTY]]</f>
        <v>0</v>
      </c>
      <c r="K283" s="141">
        <v>968602</v>
      </c>
    </row>
    <row r="284" spans="1:11" outlineLevel="1" x14ac:dyDescent="0.25">
      <c r="A284" s="135">
        <v>45</v>
      </c>
      <c r="B284" s="122">
        <v>5413508028325</v>
      </c>
      <c r="C284" s="134" t="s">
        <v>248</v>
      </c>
      <c r="D284" s="93"/>
      <c r="E284" s="105" t="s">
        <v>24</v>
      </c>
      <c r="F284" s="123">
        <v>1</v>
      </c>
      <c r="G284" s="106">
        <v>79.900000000000006</v>
      </c>
      <c r="H284" s="106">
        <f t="shared" si="13"/>
        <v>6.791500000000001</v>
      </c>
      <c r="I284" s="107">
        <f>Tabell5[[#This Row],[NOK]]*Tabell5[[#This Row],[QTY]]</f>
        <v>0</v>
      </c>
      <c r="J284" s="107">
        <f>Tabell5[[#This Row],[EURO]]*Tabell5[[#This Row],[QTY]]</f>
        <v>0</v>
      </c>
      <c r="K284" s="141">
        <v>18095</v>
      </c>
    </row>
    <row r="285" spans="1:11" outlineLevel="1" x14ac:dyDescent="0.25">
      <c r="A285" s="132">
        <v>46</v>
      </c>
      <c r="B285" s="122">
        <v>7026510186044</v>
      </c>
      <c r="C285" s="134" t="s">
        <v>249</v>
      </c>
      <c r="D285" s="93"/>
      <c r="E285" s="105" t="s">
        <v>24</v>
      </c>
      <c r="F285" s="123">
        <v>1</v>
      </c>
      <c r="G285" s="106">
        <v>51.9</v>
      </c>
      <c r="H285" s="106">
        <f t="shared" si="13"/>
        <v>4.4115000000000002</v>
      </c>
      <c r="I285" s="107">
        <f>Tabell5[[#This Row],[NOK]]*Tabell5[[#This Row],[QTY]]</f>
        <v>0</v>
      </c>
      <c r="J285" s="107">
        <f>Tabell5[[#This Row],[EURO]]*Tabell5[[#This Row],[QTY]]</f>
        <v>0</v>
      </c>
      <c r="K285" s="141">
        <v>1825</v>
      </c>
    </row>
    <row r="286" spans="1:11" outlineLevel="1" x14ac:dyDescent="0.25">
      <c r="A286" s="135">
        <v>47</v>
      </c>
      <c r="B286" s="122">
        <v>7026510177400</v>
      </c>
      <c r="C286" s="134" t="s">
        <v>250</v>
      </c>
      <c r="D286" s="93"/>
      <c r="E286" s="105" t="s">
        <v>24</v>
      </c>
      <c r="F286" s="123">
        <v>1</v>
      </c>
      <c r="G286" s="106">
        <v>124.9</v>
      </c>
      <c r="H286" s="106">
        <f t="shared" si="13"/>
        <v>10.616500000000002</v>
      </c>
      <c r="I286" s="107">
        <f>Tabell5[[#This Row],[NOK]]*Tabell5[[#This Row],[QTY]]</f>
        <v>0</v>
      </c>
      <c r="J286" s="107">
        <f>Tabell5[[#This Row],[EURO]]*Tabell5[[#This Row],[QTY]]</f>
        <v>0</v>
      </c>
      <c r="K286" s="141"/>
    </row>
    <row r="287" spans="1:11" outlineLevel="1" x14ac:dyDescent="0.25">
      <c r="A287" s="132">
        <v>48</v>
      </c>
      <c r="B287" s="133">
        <v>7026510118403</v>
      </c>
      <c r="C287" s="134" t="s">
        <v>251</v>
      </c>
      <c r="D287" s="93"/>
      <c r="E287" s="123" t="s">
        <v>24</v>
      </c>
      <c r="F287" s="123">
        <v>1</v>
      </c>
      <c r="G287" s="128">
        <v>159</v>
      </c>
      <c r="H287" s="106">
        <f t="shared" si="13"/>
        <v>13.515000000000001</v>
      </c>
      <c r="I287" s="107">
        <f>Tabell5[[#This Row],[NOK]]*Tabell5[[#This Row],[QTY]]</f>
        <v>0</v>
      </c>
      <c r="J287" s="107">
        <f>Tabell5[[#This Row],[EURO]]*Tabell5[[#This Row],[QTY]]</f>
        <v>0</v>
      </c>
      <c r="K287" s="141">
        <v>4527016</v>
      </c>
    </row>
    <row r="288" spans="1:11" outlineLevel="1" x14ac:dyDescent="0.25">
      <c r="A288" s="135">
        <v>49</v>
      </c>
      <c r="B288" s="122">
        <v>8716276000256</v>
      </c>
      <c r="C288" s="134" t="s">
        <v>252</v>
      </c>
      <c r="D288" s="93"/>
      <c r="E288" s="105" t="s">
        <v>24</v>
      </c>
      <c r="F288" s="123">
        <v>1</v>
      </c>
      <c r="G288" s="106">
        <v>48.9</v>
      </c>
      <c r="H288" s="106">
        <f t="shared" si="13"/>
        <v>4.1565000000000003</v>
      </c>
      <c r="I288" s="107">
        <f>Tabell5[[#This Row],[NOK]]*Tabell5[[#This Row],[QTY]]</f>
        <v>0</v>
      </c>
      <c r="J288" s="107">
        <f>Tabell5[[#This Row],[EURO]]*Tabell5[[#This Row],[QTY]]</f>
        <v>0</v>
      </c>
      <c r="K288" s="141"/>
    </row>
    <row r="289" spans="1:11" outlineLevel="1" x14ac:dyDescent="0.25">
      <c r="A289" s="132">
        <v>50</v>
      </c>
      <c r="B289" s="122">
        <v>8710449939329</v>
      </c>
      <c r="C289" s="134" t="s">
        <v>253</v>
      </c>
      <c r="D289" s="93"/>
      <c r="E289" s="105" t="s">
        <v>24</v>
      </c>
      <c r="F289" s="123">
        <v>1</v>
      </c>
      <c r="G289" s="106">
        <v>49.9</v>
      </c>
      <c r="H289" s="106">
        <f t="shared" si="13"/>
        <v>4.2415000000000003</v>
      </c>
      <c r="I289" s="107">
        <f>Tabell5[[#This Row],[NOK]]*Tabell5[[#This Row],[QTY]]</f>
        <v>0</v>
      </c>
      <c r="J289" s="107">
        <f>Tabell5[[#This Row],[EURO]]*Tabell5[[#This Row],[QTY]]</f>
        <v>0</v>
      </c>
      <c r="K289" s="141">
        <v>1899</v>
      </c>
    </row>
    <row r="290" spans="1:11" outlineLevel="1" x14ac:dyDescent="0.25">
      <c r="A290" s="135">
        <v>51</v>
      </c>
      <c r="B290" s="122">
        <v>7025110187383</v>
      </c>
      <c r="C290" s="134" t="s">
        <v>254</v>
      </c>
      <c r="D290" s="93"/>
      <c r="E290" s="105" t="s">
        <v>24</v>
      </c>
      <c r="F290" s="123">
        <v>1</v>
      </c>
      <c r="G290" s="106">
        <v>36.9</v>
      </c>
      <c r="H290" s="106">
        <f t="shared" si="13"/>
        <v>3.1365000000000003</v>
      </c>
      <c r="I290" s="107">
        <f>Tabell5[[#This Row],[NOK]]*Tabell5[[#This Row],[QTY]]</f>
        <v>0</v>
      </c>
      <c r="J290" s="107">
        <f>Tabell5[[#This Row],[EURO]]*Tabell5[[#This Row],[QTY]]</f>
        <v>0</v>
      </c>
      <c r="K290" s="141"/>
    </row>
    <row r="291" spans="1:11" outlineLevel="1" x14ac:dyDescent="0.25">
      <c r="A291" s="132">
        <v>52</v>
      </c>
      <c r="B291" s="122">
        <v>7340011360377</v>
      </c>
      <c r="C291" s="134" t="s">
        <v>255</v>
      </c>
      <c r="D291" s="93"/>
      <c r="E291" s="105" t="s">
        <v>24</v>
      </c>
      <c r="F291" s="123">
        <v>1</v>
      </c>
      <c r="G291" s="106">
        <v>32.9</v>
      </c>
      <c r="H291" s="106">
        <f t="shared" si="13"/>
        <v>2.7965</v>
      </c>
      <c r="I291" s="107">
        <f>Tabell5[[#This Row],[NOK]]*Tabell5[[#This Row],[QTY]]</f>
        <v>0</v>
      </c>
      <c r="J291" s="107">
        <f>Tabell5[[#This Row],[EURO]]*Tabell5[[#This Row],[QTY]]</f>
        <v>0</v>
      </c>
      <c r="K291" s="141">
        <v>17844</v>
      </c>
    </row>
    <row r="292" spans="1:11" outlineLevel="1" x14ac:dyDescent="0.25">
      <c r="A292" s="135">
        <v>53</v>
      </c>
      <c r="B292" s="122">
        <v>7340011465201</v>
      </c>
      <c r="C292" s="134" t="s">
        <v>256</v>
      </c>
      <c r="D292" s="93"/>
      <c r="E292" s="105" t="s">
        <v>24</v>
      </c>
      <c r="F292" s="123">
        <v>1</v>
      </c>
      <c r="G292" s="106">
        <v>53.9</v>
      </c>
      <c r="H292" s="106">
        <f t="shared" si="13"/>
        <v>4.5815000000000001</v>
      </c>
      <c r="I292" s="107">
        <f>Tabell5[[#This Row],[NOK]]*Tabell5[[#This Row],[QTY]]</f>
        <v>0</v>
      </c>
      <c r="J292" s="107">
        <f>Tabell5[[#This Row],[EURO]]*Tabell5[[#This Row],[QTY]]</f>
        <v>0</v>
      </c>
      <c r="K292" s="141">
        <v>17843</v>
      </c>
    </row>
    <row r="293" spans="1:11" outlineLevel="1" x14ac:dyDescent="0.25">
      <c r="A293" s="132">
        <v>54</v>
      </c>
      <c r="B293" s="122">
        <v>7340011465218</v>
      </c>
      <c r="C293" s="134" t="s">
        <v>257</v>
      </c>
      <c r="D293" s="93"/>
      <c r="E293" s="105" t="s">
        <v>24</v>
      </c>
      <c r="F293" s="123">
        <v>1</v>
      </c>
      <c r="G293" s="106">
        <v>39.9</v>
      </c>
      <c r="H293" s="106">
        <f t="shared" si="13"/>
        <v>3.3915000000000002</v>
      </c>
      <c r="I293" s="107">
        <f>Tabell5[[#This Row],[NOK]]*Tabell5[[#This Row],[QTY]]</f>
        <v>0</v>
      </c>
      <c r="J293" s="107">
        <f>Tabell5[[#This Row],[EURO]]*Tabell5[[#This Row],[QTY]]</f>
        <v>0</v>
      </c>
      <c r="K293" s="141">
        <v>18103</v>
      </c>
    </row>
    <row r="294" spans="1:11" outlineLevel="1" x14ac:dyDescent="0.25">
      <c r="A294" s="135">
        <v>55</v>
      </c>
      <c r="B294" s="122">
        <v>7340011465195</v>
      </c>
      <c r="C294" s="134" t="s">
        <v>258</v>
      </c>
      <c r="D294" s="93"/>
      <c r="E294" s="105" t="s">
        <v>24</v>
      </c>
      <c r="F294" s="123">
        <v>1</v>
      </c>
      <c r="G294" s="106">
        <v>34.9</v>
      </c>
      <c r="H294" s="106">
        <f t="shared" si="13"/>
        <v>2.9664999999999999</v>
      </c>
      <c r="I294" s="107">
        <f>Tabell5[[#This Row],[NOK]]*Tabell5[[#This Row],[QTY]]</f>
        <v>0</v>
      </c>
      <c r="J294" s="107">
        <f>Tabell5[[#This Row],[EURO]]*Tabell5[[#This Row],[QTY]]</f>
        <v>0</v>
      </c>
      <c r="K294" s="141"/>
    </row>
    <row r="295" spans="1:11" outlineLevel="1" x14ac:dyDescent="0.25">
      <c r="A295" s="132">
        <v>56</v>
      </c>
      <c r="B295" s="122">
        <v>734001429203</v>
      </c>
      <c r="C295" s="134" t="s">
        <v>259</v>
      </c>
      <c r="D295" s="93"/>
      <c r="E295" s="105" t="s">
        <v>24</v>
      </c>
      <c r="F295" s="123">
        <v>1</v>
      </c>
      <c r="G295" s="106">
        <v>22.9</v>
      </c>
      <c r="H295" s="106">
        <f t="shared" si="13"/>
        <v>1.9465000000000001</v>
      </c>
      <c r="I295" s="107">
        <f>Tabell5[[#This Row],[NOK]]*Tabell5[[#This Row],[QTY]]</f>
        <v>0</v>
      </c>
      <c r="J295" s="107">
        <f>Tabell5[[#This Row],[EURO]]*Tabell5[[#This Row],[QTY]]</f>
        <v>0</v>
      </c>
      <c r="K295" s="141"/>
    </row>
    <row r="296" spans="1:11" outlineLevel="1" x14ac:dyDescent="0.25">
      <c r="A296" s="135">
        <v>57</v>
      </c>
      <c r="B296" s="122">
        <v>7340011364672</v>
      </c>
      <c r="C296" s="134" t="s">
        <v>260</v>
      </c>
      <c r="D296" s="93"/>
      <c r="E296" s="105" t="s">
        <v>24</v>
      </c>
      <c r="F296" s="123">
        <v>1</v>
      </c>
      <c r="G296" s="106">
        <v>25.9</v>
      </c>
      <c r="H296" s="106">
        <f t="shared" si="13"/>
        <v>2.2015000000000002</v>
      </c>
      <c r="I296" s="107">
        <f>Tabell5[[#This Row],[NOK]]*Tabell5[[#This Row],[QTY]]</f>
        <v>0</v>
      </c>
      <c r="J296" s="107">
        <f>Tabell5[[#This Row],[EURO]]*Tabell5[[#This Row],[QTY]]</f>
        <v>0</v>
      </c>
      <c r="K296" s="141"/>
    </row>
    <row r="297" spans="1:11" outlineLevel="1" x14ac:dyDescent="0.25">
      <c r="A297" s="132">
        <v>58</v>
      </c>
      <c r="B297" s="122">
        <v>7026510016556</v>
      </c>
      <c r="C297" s="134" t="s">
        <v>261</v>
      </c>
      <c r="D297" s="93"/>
      <c r="E297" s="105" t="s">
        <v>24</v>
      </c>
      <c r="F297" s="123">
        <v>1</v>
      </c>
      <c r="G297" s="106">
        <v>239</v>
      </c>
      <c r="H297" s="106">
        <f t="shared" si="13"/>
        <v>20.315000000000001</v>
      </c>
      <c r="I297" s="107">
        <f>Tabell5[[#This Row],[NOK]]*Tabell5[[#This Row],[QTY]]</f>
        <v>0</v>
      </c>
      <c r="J297" s="107">
        <f>Tabell5[[#This Row],[EURO]]*Tabell5[[#This Row],[QTY]]</f>
        <v>0</v>
      </c>
      <c r="K297" s="141">
        <v>919431</v>
      </c>
    </row>
    <row r="298" spans="1:11" outlineLevel="1" x14ac:dyDescent="0.25">
      <c r="A298" s="135">
        <v>59</v>
      </c>
      <c r="B298" s="122">
        <v>7340011465188</v>
      </c>
      <c r="C298" s="134" t="s">
        <v>262</v>
      </c>
      <c r="D298" s="93"/>
      <c r="E298" s="105" t="s">
        <v>24</v>
      </c>
      <c r="F298" s="123">
        <v>1</v>
      </c>
      <c r="G298" s="106">
        <v>29.9</v>
      </c>
      <c r="H298" s="106">
        <f t="shared" si="13"/>
        <v>2.5415000000000001</v>
      </c>
      <c r="I298" s="107">
        <f>Tabell5[[#This Row],[NOK]]*Tabell5[[#This Row],[QTY]]</f>
        <v>0</v>
      </c>
      <c r="J298" s="107">
        <f>Tabell5[[#This Row],[EURO]]*Tabell5[[#This Row],[QTY]]</f>
        <v>0</v>
      </c>
      <c r="K298" s="141">
        <v>18096</v>
      </c>
    </row>
    <row r="299" spans="1:11" outlineLevel="1" x14ac:dyDescent="0.25">
      <c r="A299" s="132">
        <v>60</v>
      </c>
      <c r="B299" s="122">
        <v>7039611060755</v>
      </c>
      <c r="C299" s="134" t="s">
        <v>263</v>
      </c>
      <c r="D299" s="93"/>
      <c r="E299" s="105" t="s">
        <v>24</v>
      </c>
      <c r="F299" s="123">
        <v>1</v>
      </c>
      <c r="G299" s="106">
        <v>899</v>
      </c>
      <c r="H299" s="106">
        <f t="shared" si="13"/>
        <v>76.415000000000006</v>
      </c>
      <c r="I299" s="107">
        <f>Tabell5[[#This Row],[NOK]]*Tabell5[[#This Row],[QTY]]</f>
        <v>0</v>
      </c>
      <c r="J299" s="107">
        <f>Tabell5[[#This Row],[EURO]]*Tabell5[[#This Row],[QTY]]</f>
        <v>0</v>
      </c>
      <c r="K299" s="141">
        <v>1564400</v>
      </c>
    </row>
    <row r="300" spans="1:11" outlineLevel="1" x14ac:dyDescent="0.25">
      <c r="A300" s="135">
        <v>61</v>
      </c>
      <c r="B300" s="122">
        <v>7039611060731</v>
      </c>
      <c r="C300" s="134" t="s">
        <v>264</v>
      </c>
      <c r="D300" s="93"/>
      <c r="E300" s="105" t="s">
        <v>24</v>
      </c>
      <c r="F300" s="123">
        <v>1</v>
      </c>
      <c r="G300" s="106">
        <v>1490</v>
      </c>
      <c r="H300" s="106">
        <f t="shared" si="13"/>
        <v>126.65</v>
      </c>
      <c r="I300" s="107">
        <f>Tabell5[[#This Row],[NOK]]*Tabell5[[#This Row],[QTY]]</f>
        <v>0</v>
      </c>
      <c r="J300" s="107">
        <f>Tabell5[[#This Row],[EURO]]*Tabell5[[#This Row],[QTY]]</f>
        <v>0</v>
      </c>
      <c r="K300" s="141">
        <v>1565423</v>
      </c>
    </row>
    <row r="301" spans="1:11" outlineLevel="1" x14ac:dyDescent="0.25">
      <c r="A301" s="130">
        <v>62</v>
      </c>
      <c r="B301" s="122">
        <v>7039610060992</v>
      </c>
      <c r="C301" s="129" t="s">
        <v>265</v>
      </c>
      <c r="D301" s="93"/>
      <c r="E301" s="123" t="s">
        <v>24</v>
      </c>
      <c r="F301" s="123">
        <v>1</v>
      </c>
      <c r="G301" s="106">
        <v>249</v>
      </c>
      <c r="H301" s="106">
        <f t="shared" si="13"/>
        <v>21.165000000000003</v>
      </c>
      <c r="I301" s="107">
        <f>Tabell5[[#This Row],[NOK]]*Tabell5[[#This Row],[QTY]]</f>
        <v>0</v>
      </c>
      <c r="J301" s="107">
        <f>Tabell5[[#This Row],[EURO]]*Tabell5[[#This Row],[QTY]]</f>
        <v>0</v>
      </c>
      <c r="K301" s="141">
        <v>1761592</v>
      </c>
    </row>
    <row r="302" spans="1:11" outlineLevel="1" x14ac:dyDescent="0.25">
      <c r="A302" s="135">
        <v>63</v>
      </c>
      <c r="B302" s="133">
        <v>7041015400006</v>
      </c>
      <c r="C302" s="134" t="s">
        <v>266</v>
      </c>
      <c r="D302" s="93"/>
      <c r="E302" s="105" t="s">
        <v>24</v>
      </c>
      <c r="F302" s="123">
        <v>1</v>
      </c>
      <c r="G302" s="106">
        <v>249</v>
      </c>
      <c r="H302" s="106">
        <f t="shared" si="13"/>
        <v>21.165000000000003</v>
      </c>
      <c r="I302" s="107">
        <f>Tabell5[[#This Row],[NOK]]*Tabell5[[#This Row],[QTY]]</f>
        <v>0</v>
      </c>
      <c r="J302" s="107">
        <f>Tabell5[[#This Row],[EURO]]*Tabell5[[#This Row],[QTY]]</f>
        <v>0</v>
      </c>
      <c r="K302" s="141">
        <v>4762985</v>
      </c>
    </row>
    <row r="303" spans="1:11" outlineLevel="1" x14ac:dyDescent="0.25">
      <c r="A303" s="135">
        <v>64</v>
      </c>
      <c r="B303" s="133">
        <v>7041015020006</v>
      </c>
      <c r="C303" s="134" t="s">
        <v>267</v>
      </c>
      <c r="D303" s="93"/>
      <c r="E303" s="105" t="s">
        <v>24</v>
      </c>
      <c r="F303" s="123">
        <v>1</v>
      </c>
      <c r="G303" s="106">
        <v>249</v>
      </c>
      <c r="H303" s="106">
        <f t="shared" si="13"/>
        <v>21.165000000000003</v>
      </c>
      <c r="I303" s="107">
        <f>Tabell5[[#This Row],[NOK]]*Tabell5[[#This Row],[QTY]]</f>
        <v>0</v>
      </c>
      <c r="J303" s="107">
        <f>Tabell5[[#This Row],[EURO]]*Tabell5[[#This Row],[QTY]]</f>
        <v>0</v>
      </c>
      <c r="K303" s="141">
        <v>2492668</v>
      </c>
    </row>
    <row r="304" spans="1:11" outlineLevel="1" x14ac:dyDescent="0.25">
      <c r="A304" s="135">
        <v>65</v>
      </c>
      <c r="B304" s="133">
        <v>7041015030005</v>
      </c>
      <c r="C304" s="134" t="s">
        <v>268</v>
      </c>
      <c r="D304" s="93"/>
      <c r="E304" s="105" t="s">
        <v>24</v>
      </c>
      <c r="F304" s="123">
        <v>1</v>
      </c>
      <c r="G304" s="106">
        <v>249</v>
      </c>
      <c r="H304" s="106">
        <f t="shared" ref="H304:H318" si="14">G304*$N$1</f>
        <v>21.165000000000003</v>
      </c>
      <c r="I304" s="107">
        <f>Tabell5[[#This Row],[NOK]]*Tabell5[[#This Row],[QTY]]</f>
        <v>0</v>
      </c>
      <c r="J304" s="107">
        <f>Tabell5[[#This Row],[EURO]]*Tabell5[[#This Row],[QTY]]</f>
        <v>0</v>
      </c>
      <c r="K304" s="141">
        <v>2492676</v>
      </c>
    </row>
    <row r="305" spans="1:11" outlineLevel="1" x14ac:dyDescent="0.25">
      <c r="A305" s="135">
        <v>66</v>
      </c>
      <c r="B305" s="133">
        <v>7041015500003</v>
      </c>
      <c r="C305" s="134" t="s">
        <v>269</v>
      </c>
      <c r="D305" s="93"/>
      <c r="E305" s="105" t="s">
        <v>24</v>
      </c>
      <c r="F305" s="123">
        <v>1</v>
      </c>
      <c r="G305" s="106">
        <v>249</v>
      </c>
      <c r="H305" s="106">
        <f t="shared" si="14"/>
        <v>21.165000000000003</v>
      </c>
      <c r="I305" s="107">
        <f>Tabell5[[#This Row],[NOK]]*Tabell5[[#This Row],[QTY]]</f>
        <v>0</v>
      </c>
      <c r="J305" s="107">
        <f>Tabell5[[#This Row],[EURO]]*Tabell5[[#This Row],[QTY]]</f>
        <v>0</v>
      </c>
      <c r="K305" s="141">
        <v>2493120</v>
      </c>
    </row>
    <row r="306" spans="1:11" outlineLevel="1" x14ac:dyDescent="0.25">
      <c r="A306" s="135">
        <v>67</v>
      </c>
      <c r="B306" s="133">
        <v>7041015520001</v>
      </c>
      <c r="C306" s="134" t="s">
        <v>270</v>
      </c>
      <c r="D306" s="93"/>
      <c r="E306" s="105" t="s">
        <v>24</v>
      </c>
      <c r="F306" s="123">
        <v>1</v>
      </c>
      <c r="G306" s="106">
        <v>249</v>
      </c>
      <c r="H306" s="106">
        <f t="shared" si="14"/>
        <v>21.165000000000003</v>
      </c>
      <c r="I306" s="107">
        <f>Tabell5[[#This Row],[NOK]]*Tabell5[[#This Row],[QTY]]</f>
        <v>0</v>
      </c>
      <c r="J306" s="107">
        <f>Tabell5[[#This Row],[EURO]]*Tabell5[[#This Row],[QTY]]</f>
        <v>0</v>
      </c>
      <c r="K306" s="141">
        <v>2493187</v>
      </c>
    </row>
    <row r="307" spans="1:11" outlineLevel="1" x14ac:dyDescent="0.25">
      <c r="A307" s="130">
        <v>68</v>
      </c>
      <c r="B307" s="133"/>
      <c r="C307" s="129" t="s">
        <v>271</v>
      </c>
      <c r="D307" s="93"/>
      <c r="E307" s="123" t="s">
        <v>24</v>
      </c>
      <c r="F307" s="123">
        <v>1</v>
      </c>
      <c r="G307" s="106">
        <v>249</v>
      </c>
      <c r="H307" s="106">
        <f t="shared" si="14"/>
        <v>21.165000000000003</v>
      </c>
      <c r="I307" s="107">
        <f>Tabell5[[#This Row],[NOK]]*Tabell5[[#This Row],[QTY]]</f>
        <v>0</v>
      </c>
      <c r="J307" s="107">
        <f>Tabell5[[#This Row],[EURO]]*Tabell5[[#This Row],[QTY]]</f>
        <v>0</v>
      </c>
      <c r="K307" s="141"/>
    </row>
    <row r="308" spans="1:11" outlineLevel="1" x14ac:dyDescent="0.25">
      <c r="A308" s="135">
        <v>69</v>
      </c>
      <c r="B308" s="133">
        <v>3700478572203</v>
      </c>
      <c r="C308" s="159" t="s">
        <v>272</v>
      </c>
      <c r="D308" s="93"/>
      <c r="E308" s="123" t="s">
        <v>200</v>
      </c>
      <c r="F308" s="123">
        <v>1</v>
      </c>
      <c r="G308" s="128">
        <v>699</v>
      </c>
      <c r="H308" s="106">
        <f t="shared" si="14"/>
        <v>59.415000000000006</v>
      </c>
      <c r="I308" s="107">
        <f>Tabell5[[#This Row],[NOK]]*Tabell5[[#This Row],[QTY]]</f>
        <v>0</v>
      </c>
      <c r="J308" s="107">
        <f>Tabell5[[#This Row],[EURO]]*Tabell5[[#This Row],[QTY]]</f>
        <v>0</v>
      </c>
      <c r="K308" s="141">
        <v>4517348</v>
      </c>
    </row>
    <row r="309" spans="1:11" outlineLevel="1" x14ac:dyDescent="0.25">
      <c r="A309" s="135">
        <v>70</v>
      </c>
      <c r="B309" s="133">
        <v>7020712018967</v>
      </c>
      <c r="C309" s="159" t="s">
        <v>273</v>
      </c>
      <c r="D309" s="93"/>
      <c r="E309" s="123" t="s">
        <v>200</v>
      </c>
      <c r="F309" s="123">
        <v>1</v>
      </c>
      <c r="G309" s="128">
        <v>999</v>
      </c>
      <c r="H309" s="106">
        <f t="shared" si="14"/>
        <v>84.915000000000006</v>
      </c>
      <c r="I309" s="107">
        <f>Tabell5[[#This Row],[NOK]]*Tabell5[[#This Row],[QTY]]</f>
        <v>0</v>
      </c>
      <c r="J309" s="107">
        <f>Tabell5[[#This Row],[EURO]]*Tabell5[[#This Row],[QTY]]</f>
        <v>0</v>
      </c>
      <c r="K309" s="141">
        <v>5453196</v>
      </c>
    </row>
    <row r="310" spans="1:11" outlineLevel="1" x14ac:dyDescent="0.25">
      <c r="A310" s="135">
        <v>71</v>
      </c>
      <c r="B310" s="133">
        <v>5413476933133</v>
      </c>
      <c r="C310" s="159" t="s">
        <v>274</v>
      </c>
      <c r="D310" s="93"/>
      <c r="E310" s="123" t="s">
        <v>200</v>
      </c>
      <c r="F310" s="123">
        <v>1</v>
      </c>
      <c r="G310" s="128">
        <v>599</v>
      </c>
      <c r="H310" s="106">
        <f t="shared" si="14"/>
        <v>50.915000000000006</v>
      </c>
      <c r="I310" s="107">
        <f>Tabell5[[#This Row],[NOK]]*Tabell5[[#This Row],[QTY]]</f>
        <v>0</v>
      </c>
      <c r="J310" s="107">
        <f>Tabell5[[#This Row],[EURO]]*Tabell5[[#This Row],[QTY]]</f>
        <v>0</v>
      </c>
      <c r="K310" s="141">
        <v>5294483</v>
      </c>
    </row>
    <row r="311" spans="1:11" outlineLevel="1" x14ac:dyDescent="0.25">
      <c r="A311" s="135">
        <v>72</v>
      </c>
      <c r="B311" s="133">
        <v>5413476940230</v>
      </c>
      <c r="C311" s="159" t="s">
        <v>275</v>
      </c>
      <c r="D311" s="93"/>
      <c r="E311" s="123" t="s">
        <v>200</v>
      </c>
      <c r="F311" s="123">
        <v>1</v>
      </c>
      <c r="G311" s="128">
        <v>599</v>
      </c>
      <c r="H311" s="106">
        <f t="shared" si="14"/>
        <v>50.915000000000006</v>
      </c>
      <c r="I311" s="107">
        <f>Tabell5[[#This Row],[NOK]]*Tabell5[[#This Row],[QTY]]</f>
        <v>0</v>
      </c>
      <c r="J311" s="107">
        <f>Tabell5[[#This Row],[EURO]]*Tabell5[[#This Row],[QTY]]</f>
        <v>0</v>
      </c>
      <c r="K311" s="141">
        <v>5296611</v>
      </c>
    </row>
    <row r="312" spans="1:11" outlineLevel="1" x14ac:dyDescent="0.25">
      <c r="A312" s="135">
        <v>73</v>
      </c>
      <c r="B312" s="122">
        <v>2000139900000</v>
      </c>
      <c r="C312" s="159" t="s">
        <v>276</v>
      </c>
      <c r="D312" s="93"/>
      <c r="E312" s="105" t="s">
        <v>24</v>
      </c>
      <c r="F312" s="123">
        <v>1</v>
      </c>
      <c r="G312" s="106">
        <v>7</v>
      </c>
      <c r="H312" s="106">
        <f t="shared" si="14"/>
        <v>0.59500000000000008</v>
      </c>
      <c r="I312" s="107">
        <f>Tabell5[[#This Row],[NOK]]*Tabell5[[#This Row],[QTY]]</f>
        <v>0</v>
      </c>
      <c r="J312" s="107">
        <f>Tabell5[[#This Row],[EURO]]*Tabell5[[#This Row],[QTY]]</f>
        <v>0</v>
      </c>
      <c r="K312" s="141">
        <v>3146172</v>
      </c>
    </row>
    <row r="313" spans="1:11" outlineLevel="1" x14ac:dyDescent="0.25">
      <c r="A313" s="135">
        <v>74</v>
      </c>
      <c r="B313" s="122">
        <v>2000139900000</v>
      </c>
      <c r="C313" s="159" t="s">
        <v>277</v>
      </c>
      <c r="D313" s="93"/>
      <c r="E313" s="105" t="s">
        <v>24</v>
      </c>
      <c r="F313" s="123">
        <v>1</v>
      </c>
      <c r="G313" s="106">
        <v>7</v>
      </c>
      <c r="H313" s="106">
        <f t="shared" si="14"/>
        <v>0.59500000000000008</v>
      </c>
      <c r="I313" s="107">
        <f>Tabell5[[#This Row],[NOK]]*Tabell5[[#This Row],[QTY]]</f>
        <v>0</v>
      </c>
      <c r="J313" s="107">
        <f>Tabell5[[#This Row],[EURO]]*Tabell5[[#This Row],[QTY]]</f>
        <v>0</v>
      </c>
      <c r="K313" s="141"/>
    </row>
    <row r="314" spans="1:11" outlineLevel="1" x14ac:dyDescent="0.25">
      <c r="A314" s="130">
        <v>75</v>
      </c>
      <c r="B314" s="133">
        <v>5701014070649</v>
      </c>
      <c r="C314" s="129" t="s">
        <v>278</v>
      </c>
      <c r="D314" s="93"/>
      <c r="E314" s="123" t="s">
        <v>24</v>
      </c>
      <c r="F314" s="123">
        <v>10</v>
      </c>
      <c r="G314" s="128">
        <v>39.9</v>
      </c>
      <c r="H314" s="106">
        <f t="shared" si="14"/>
        <v>3.3915000000000002</v>
      </c>
      <c r="I314" s="107">
        <f>Tabell5[[#This Row],[NOK]]*Tabell5[[#This Row],[QTY]]</f>
        <v>0</v>
      </c>
      <c r="J314" s="107">
        <f>Tabell5[[#This Row],[EURO]]*Tabell5[[#This Row],[QTY]]</f>
        <v>0</v>
      </c>
      <c r="K314" s="141"/>
    </row>
    <row r="315" spans="1:11" outlineLevel="1" x14ac:dyDescent="0.25">
      <c r="A315" s="130">
        <v>76</v>
      </c>
      <c r="B315" s="133">
        <v>7340191130098</v>
      </c>
      <c r="C315" s="129" t="s">
        <v>279</v>
      </c>
      <c r="D315" s="93"/>
      <c r="E315" s="123" t="s">
        <v>24</v>
      </c>
      <c r="F315" s="123">
        <v>10</v>
      </c>
      <c r="G315" s="128">
        <v>28.5</v>
      </c>
      <c r="H315" s="106">
        <f t="shared" si="14"/>
        <v>2.4225000000000003</v>
      </c>
      <c r="I315" s="107">
        <f>Tabell5[[#This Row],[NOK]]*Tabell5[[#This Row],[QTY]]</f>
        <v>0</v>
      </c>
      <c r="J315" s="107">
        <f>Tabell5[[#This Row],[EURO]]*Tabell5[[#This Row],[QTY]]</f>
        <v>0</v>
      </c>
      <c r="K315" s="141"/>
    </row>
    <row r="316" spans="1:11" outlineLevel="1" x14ac:dyDescent="0.25">
      <c r="A316" s="130">
        <v>77</v>
      </c>
      <c r="B316" s="133">
        <v>7071848022540</v>
      </c>
      <c r="C316" s="129" t="s">
        <v>280</v>
      </c>
      <c r="D316" s="93"/>
      <c r="E316" s="123" t="s">
        <v>24</v>
      </c>
      <c r="F316" s="123">
        <v>7</v>
      </c>
      <c r="G316" s="128">
        <v>39</v>
      </c>
      <c r="H316" s="106">
        <f t="shared" si="14"/>
        <v>3.3150000000000004</v>
      </c>
      <c r="I316" s="107">
        <f>Tabell5[[#This Row],[NOK]]*Tabell5[[#This Row],[QTY]]</f>
        <v>0</v>
      </c>
      <c r="J316" s="107">
        <f>Tabell5[[#This Row],[EURO]]*Tabell5[[#This Row],[QTY]]</f>
        <v>0</v>
      </c>
      <c r="K316" s="141">
        <v>4957148</v>
      </c>
    </row>
    <row r="317" spans="1:11" outlineLevel="1" x14ac:dyDescent="0.25">
      <c r="A317" s="118">
        <v>78</v>
      </c>
      <c r="B317" s="131">
        <v>7025165010827</v>
      </c>
      <c r="C317" s="121" t="s">
        <v>281</v>
      </c>
      <c r="D317" s="93"/>
      <c r="E317" s="105" t="s">
        <v>24</v>
      </c>
      <c r="F317" s="123">
        <v>1</v>
      </c>
      <c r="G317" s="106">
        <v>45.9</v>
      </c>
      <c r="H317" s="106">
        <f t="shared" si="14"/>
        <v>3.9015</v>
      </c>
      <c r="I317" s="107">
        <f>Tabell5[[#This Row],[NOK]]*Tabell5[[#This Row],[QTY]]</f>
        <v>0</v>
      </c>
      <c r="J317" s="107">
        <f>Tabell5[[#This Row],[EURO]]*Tabell5[[#This Row],[QTY]]</f>
        <v>0</v>
      </c>
      <c r="K317" s="141"/>
    </row>
    <row r="318" spans="1:11" hidden="1" outlineLevel="1" x14ac:dyDescent="0.25">
      <c r="A318" s="118">
        <v>79</v>
      </c>
      <c r="B318" s="122">
        <v>7025165010834</v>
      </c>
      <c r="C318" s="121" t="s">
        <v>282</v>
      </c>
      <c r="D318" s="93"/>
      <c r="E318" s="105" t="s">
        <v>24</v>
      </c>
      <c r="F318" s="123">
        <v>1</v>
      </c>
      <c r="G318" s="106">
        <v>36.9</v>
      </c>
      <c r="H318" s="106">
        <f t="shared" si="14"/>
        <v>3.1365000000000003</v>
      </c>
      <c r="I318" s="107">
        <f>Tabell5[[#This Row],[NOK]]*Tabell5[[#This Row],[QTY]]</f>
        <v>0</v>
      </c>
      <c r="J318" s="107">
        <f>Tabell5[[#This Row],[EURO]]*Tabell5[[#This Row],[QTY]]</f>
        <v>0</v>
      </c>
      <c r="K318" s="146"/>
    </row>
    <row r="319" spans="1:11" hidden="1" outlineLevel="1" x14ac:dyDescent="0.25">
      <c r="A319" s="130">
        <v>80</v>
      </c>
      <c r="B319" s="122"/>
      <c r="C319" s="129" t="s">
        <v>61</v>
      </c>
      <c r="D319" s="93"/>
      <c r="E319" s="123"/>
      <c r="F319" s="123"/>
      <c r="G319" s="106"/>
      <c r="H319" s="106">
        <f>G319*$N$1</f>
        <v>0</v>
      </c>
      <c r="I319" s="107">
        <f>Tabell5[[#This Row],[NOK]]*Tabell5[[#This Row],[QTY]]</f>
        <v>0</v>
      </c>
      <c r="J319" s="107">
        <f>Tabell5[[#This Row],[EURO]]*Tabell5[[#This Row],[QTY]]</f>
        <v>0</v>
      </c>
      <c r="K319" s="141"/>
    </row>
    <row r="320" spans="1:11" hidden="1" outlineLevel="1" x14ac:dyDescent="0.25">
      <c r="A320" s="130">
        <v>81</v>
      </c>
      <c r="B320" s="122"/>
      <c r="C320" s="129" t="s">
        <v>61</v>
      </c>
      <c r="D320" s="93"/>
      <c r="E320" s="123"/>
      <c r="F320" s="123"/>
      <c r="G320" s="106"/>
      <c r="H320" s="106">
        <f>G320*$N$1</f>
        <v>0</v>
      </c>
      <c r="I320" s="107">
        <f>Tabell5[[#This Row],[NOK]]*Tabell5[[#This Row],[QTY]]</f>
        <v>0</v>
      </c>
      <c r="J320" s="107">
        <f>Tabell5[[#This Row],[EURO]]*Tabell5[[#This Row],[QTY]]</f>
        <v>0</v>
      </c>
      <c r="K320" s="141"/>
    </row>
    <row r="321" spans="1:11" hidden="1" outlineLevel="1" x14ac:dyDescent="0.25">
      <c r="A321" s="130">
        <v>82</v>
      </c>
      <c r="B321" s="122"/>
      <c r="C321" s="129" t="s">
        <v>61</v>
      </c>
      <c r="D321" s="93"/>
      <c r="E321" s="123"/>
      <c r="F321" s="123"/>
      <c r="G321" s="106"/>
      <c r="H321" s="106">
        <f>G321*$N$1</f>
        <v>0</v>
      </c>
      <c r="I321" s="107">
        <f>Tabell5[[#This Row],[NOK]]*Tabell5[[#This Row],[QTY]]</f>
        <v>0</v>
      </c>
      <c r="J321" s="107">
        <f>Tabell5[[#This Row],[EURO]]*Tabell5[[#This Row],[QTY]]</f>
        <v>0</v>
      </c>
      <c r="K321" s="141"/>
    </row>
    <row r="322" spans="1:11" hidden="1" outlineLevel="1" x14ac:dyDescent="0.25">
      <c r="A322" s="130">
        <v>83</v>
      </c>
      <c r="B322" s="122"/>
      <c r="C322" s="129" t="s">
        <v>61</v>
      </c>
      <c r="D322" s="93"/>
      <c r="E322" s="123"/>
      <c r="F322" s="123"/>
      <c r="G322" s="106"/>
      <c r="H322" s="106">
        <f>G322*$N$1</f>
        <v>0</v>
      </c>
      <c r="I322" s="107">
        <f>Tabell5[[#This Row],[NOK]]*Tabell5[[#This Row],[QTY]]</f>
        <v>0</v>
      </c>
      <c r="J322" s="107">
        <f>Tabell5[[#This Row],[EURO]]*Tabell5[[#This Row],[QTY]]</f>
        <v>0</v>
      </c>
      <c r="K322" s="141"/>
    </row>
    <row r="323" spans="1:11" hidden="1" x14ac:dyDescent="0.25">
      <c r="A323" s="118">
        <v>84</v>
      </c>
      <c r="B323" s="122"/>
      <c r="C323" s="129" t="s">
        <v>61</v>
      </c>
      <c r="D323" s="93"/>
      <c r="E323" s="105"/>
      <c r="F323" s="123"/>
      <c r="G323" s="106"/>
      <c r="H323" s="106">
        <f>G323*$N$1</f>
        <v>0</v>
      </c>
      <c r="I323" s="107">
        <f>Tabell5[[#This Row],[NOK]]*Tabell5[[#This Row],[QTY]]</f>
        <v>0</v>
      </c>
      <c r="J323" s="107">
        <f>Tabell5[[#This Row],[EURO]]*Tabell5[[#This Row],[QTY]]</f>
        <v>0</v>
      </c>
      <c r="K323" s="146"/>
    </row>
    <row r="324" spans="1:11" x14ac:dyDescent="0.25">
      <c r="G324" s="86"/>
      <c r="H324" s="86"/>
    </row>
    <row r="325" spans="1:11" x14ac:dyDescent="0.25">
      <c r="G325" s="86"/>
      <c r="H325" s="86"/>
      <c r="I325" s="188">
        <f>SUM(I240:I324)</f>
        <v>0</v>
      </c>
      <c r="J325" s="188">
        <f>SUM(J240:J324)</f>
        <v>0</v>
      </c>
    </row>
    <row r="326" spans="1:11" ht="18.75" x14ac:dyDescent="0.3">
      <c r="A326" s="194" t="s">
        <v>283</v>
      </c>
      <c r="B326" s="194"/>
      <c r="C326" s="194"/>
      <c r="D326" s="194"/>
      <c r="E326" s="194"/>
      <c r="F326" s="194"/>
      <c r="G326" s="194"/>
      <c r="H326" s="194"/>
      <c r="I326" s="194"/>
      <c r="J326" s="194"/>
    </row>
    <row r="327" spans="1:11" outlineLevel="1" x14ac:dyDescent="0.25">
      <c r="A327" s="92" t="s">
        <v>6</v>
      </c>
      <c r="B327" s="92" t="s">
        <v>7</v>
      </c>
      <c r="C327" s="92" t="s">
        <v>8</v>
      </c>
      <c r="D327" s="92" t="s">
        <v>16</v>
      </c>
      <c r="E327" s="140" t="s">
        <v>10</v>
      </c>
      <c r="F327" s="140" t="s">
        <v>17</v>
      </c>
      <c r="G327" s="140" t="s">
        <v>18</v>
      </c>
      <c r="H327" s="140" t="s">
        <v>19</v>
      </c>
      <c r="I327" s="140" t="s">
        <v>20</v>
      </c>
      <c r="J327" s="140" t="s">
        <v>21</v>
      </c>
      <c r="K327" s="144" t="s">
        <v>22</v>
      </c>
    </row>
    <row r="328" spans="1:11" outlineLevel="1" x14ac:dyDescent="0.25">
      <c r="A328" s="130">
        <v>1</v>
      </c>
      <c r="B328" s="131">
        <v>7044410110310</v>
      </c>
      <c r="C328" s="121" t="s">
        <v>284</v>
      </c>
      <c r="D328" s="93"/>
      <c r="E328" s="105" t="s">
        <v>24</v>
      </c>
      <c r="F328" s="123">
        <v>4</v>
      </c>
      <c r="G328" s="106">
        <v>30.9</v>
      </c>
      <c r="H328" s="106">
        <f t="shared" ref="H328:H359" si="15">G328*$N$1</f>
        <v>2.6265000000000001</v>
      </c>
      <c r="I328" s="107">
        <f>Tabell6[[#This Row],[NOK]]*Tabell6[[#This Row],[QTY]]</f>
        <v>0</v>
      </c>
      <c r="J328" s="107">
        <f>Tabell6[[#This Row],[EURO]]*Tabell6[[#This Row],[QTY]]</f>
        <v>0</v>
      </c>
      <c r="K328" s="145">
        <v>544346</v>
      </c>
    </row>
    <row r="329" spans="1:11" outlineLevel="1" x14ac:dyDescent="0.25">
      <c r="A329" s="118">
        <v>2</v>
      </c>
      <c r="B329" s="122">
        <v>7020655001255</v>
      </c>
      <c r="C329" s="121" t="s">
        <v>285</v>
      </c>
      <c r="D329" s="93"/>
      <c r="E329" s="105" t="s">
        <v>24</v>
      </c>
      <c r="F329" s="123">
        <v>1</v>
      </c>
      <c r="G329" s="106">
        <v>379</v>
      </c>
      <c r="H329" s="106">
        <f t="shared" si="15"/>
        <v>32.215000000000003</v>
      </c>
      <c r="I329" s="107">
        <f>Tabell6[[#This Row],[NOK]]*Tabell6[[#This Row],[QTY]]</f>
        <v>0</v>
      </c>
      <c r="J329" s="107">
        <f>Tabell6[[#This Row],[EURO]]*Tabell6[[#This Row],[QTY]]</f>
        <v>0</v>
      </c>
      <c r="K329" s="141">
        <v>2812105</v>
      </c>
    </row>
    <row r="330" spans="1:11" outlineLevel="1" x14ac:dyDescent="0.25">
      <c r="A330" s="130">
        <v>3</v>
      </c>
      <c r="B330" s="122">
        <v>6420002061016</v>
      </c>
      <c r="C330" s="121" t="s">
        <v>286</v>
      </c>
      <c r="D330" s="93"/>
      <c r="E330" s="105" t="s">
        <v>24</v>
      </c>
      <c r="F330" s="123">
        <v>4</v>
      </c>
      <c r="G330" s="106">
        <v>250</v>
      </c>
      <c r="H330" s="106">
        <f t="shared" si="15"/>
        <v>21.25</v>
      </c>
      <c r="I330" s="107">
        <f>Tabell6[[#This Row],[NOK]]*Tabell6[[#This Row],[QTY]]</f>
        <v>0</v>
      </c>
      <c r="J330" s="107">
        <f>Tabell6[[#This Row],[EURO]]*Tabell6[[#This Row],[QTY]]</f>
        <v>0</v>
      </c>
      <c r="K330" s="141">
        <v>488171</v>
      </c>
    </row>
    <row r="331" spans="1:11" outlineLevel="1" x14ac:dyDescent="0.25">
      <c r="A331" s="130">
        <v>4</v>
      </c>
      <c r="B331" s="122">
        <v>25701259103304</v>
      </c>
      <c r="C331" s="129" t="s">
        <v>287</v>
      </c>
      <c r="D331" s="93"/>
      <c r="E331" s="105" t="s">
        <v>24</v>
      </c>
      <c r="F331" s="123">
        <v>1</v>
      </c>
      <c r="G331" s="106">
        <v>599</v>
      </c>
      <c r="H331" s="106">
        <f t="shared" si="15"/>
        <v>50.915000000000006</v>
      </c>
      <c r="I331" s="107">
        <f>Tabell6[[#This Row],[NOK]]*Tabell6[[#This Row],[QTY]]</f>
        <v>0</v>
      </c>
      <c r="J331" s="107">
        <f>Tabell6[[#This Row],[EURO]]*Tabell6[[#This Row],[QTY]]</f>
        <v>0</v>
      </c>
      <c r="K331" s="141">
        <v>10903</v>
      </c>
    </row>
    <row r="332" spans="1:11" outlineLevel="1" x14ac:dyDescent="0.25">
      <c r="A332" s="118">
        <v>5</v>
      </c>
      <c r="B332" s="122">
        <v>6414000020021</v>
      </c>
      <c r="C332" s="129" t="s">
        <v>288</v>
      </c>
      <c r="D332" s="93"/>
      <c r="E332" s="105" t="s">
        <v>24</v>
      </c>
      <c r="F332" s="123">
        <v>10</v>
      </c>
      <c r="G332" s="106">
        <v>32.200000000000003</v>
      </c>
      <c r="H332" s="106">
        <f t="shared" si="15"/>
        <v>2.7370000000000005</v>
      </c>
      <c r="I332" s="107">
        <f>Tabell6[[#This Row],[NOK]]*Tabell6[[#This Row],[QTY]]</f>
        <v>0</v>
      </c>
      <c r="J332" s="107">
        <f>Tabell6[[#This Row],[EURO]]*Tabell6[[#This Row],[QTY]]</f>
        <v>0</v>
      </c>
      <c r="K332" s="141">
        <v>10227</v>
      </c>
    </row>
    <row r="333" spans="1:11" outlineLevel="1" x14ac:dyDescent="0.25">
      <c r="A333" s="130">
        <v>6</v>
      </c>
      <c r="B333" s="122">
        <v>400872655106</v>
      </c>
      <c r="C333" s="129" t="s">
        <v>289</v>
      </c>
      <c r="D333" s="93"/>
      <c r="E333" s="105" t="s">
        <v>24</v>
      </c>
      <c r="F333" s="123">
        <v>1</v>
      </c>
      <c r="G333" s="106">
        <v>649</v>
      </c>
      <c r="H333" s="106">
        <f t="shared" si="15"/>
        <v>55.165000000000006</v>
      </c>
      <c r="I333" s="107">
        <f>Tabell6[[#This Row],[NOK]]*Tabell6[[#This Row],[QTY]]</f>
        <v>0</v>
      </c>
      <c r="J333" s="107">
        <f>Tabell6[[#This Row],[EURO]]*Tabell6[[#This Row],[QTY]]</f>
        <v>0</v>
      </c>
      <c r="K333" s="141">
        <v>2250157</v>
      </c>
    </row>
    <row r="334" spans="1:11" outlineLevel="1" x14ac:dyDescent="0.25">
      <c r="A334" s="118">
        <v>7</v>
      </c>
      <c r="B334" s="122">
        <v>7622210115812</v>
      </c>
      <c r="C334" s="129" t="s">
        <v>290</v>
      </c>
      <c r="D334" s="93"/>
      <c r="E334" s="105" t="s">
        <v>24</v>
      </c>
      <c r="F334" s="123">
        <v>3</v>
      </c>
      <c r="G334" s="106">
        <v>139</v>
      </c>
      <c r="H334" s="106">
        <f t="shared" si="15"/>
        <v>11.815000000000001</v>
      </c>
      <c r="I334" s="107">
        <f>Tabell6[[#This Row],[NOK]]*Tabell6[[#This Row],[QTY]]</f>
        <v>0</v>
      </c>
      <c r="J334" s="107">
        <f>Tabell6[[#This Row],[EURO]]*Tabell6[[#This Row],[QTY]]</f>
        <v>0</v>
      </c>
      <c r="K334" s="141">
        <v>2774024</v>
      </c>
    </row>
    <row r="335" spans="1:11" outlineLevel="1" x14ac:dyDescent="0.25">
      <c r="A335" s="130">
        <v>8</v>
      </c>
      <c r="B335" s="122">
        <v>7340011350811</v>
      </c>
      <c r="C335" s="129" t="s">
        <v>291</v>
      </c>
      <c r="D335" s="93"/>
      <c r="E335" s="105" t="s">
        <v>24</v>
      </c>
      <c r="F335" s="123">
        <v>1</v>
      </c>
      <c r="G335" s="106">
        <v>33.9</v>
      </c>
      <c r="H335" s="106">
        <f t="shared" si="15"/>
        <v>2.8815</v>
      </c>
      <c r="I335" s="107">
        <f>Tabell6[[#This Row],[NOK]]*Tabell6[[#This Row],[QTY]]</f>
        <v>0</v>
      </c>
      <c r="J335" s="107">
        <f>Tabell6[[#This Row],[EURO]]*Tabell6[[#This Row],[QTY]]</f>
        <v>0</v>
      </c>
      <c r="K335" s="141">
        <v>2636926</v>
      </c>
    </row>
    <row r="336" spans="1:11" outlineLevel="1" x14ac:dyDescent="0.25">
      <c r="A336" s="118">
        <v>9</v>
      </c>
      <c r="B336" s="122">
        <v>7340011342618</v>
      </c>
      <c r="C336" s="129" t="s">
        <v>292</v>
      </c>
      <c r="D336" s="93"/>
      <c r="E336" s="105" t="s">
        <v>24</v>
      </c>
      <c r="F336" s="123">
        <v>1</v>
      </c>
      <c r="G336" s="106">
        <v>55.9</v>
      </c>
      <c r="H336" s="106">
        <f t="shared" si="15"/>
        <v>4.7515000000000001</v>
      </c>
      <c r="I336" s="107">
        <f>Tabell6[[#This Row],[NOK]]*Tabell6[[#This Row],[QTY]]</f>
        <v>0</v>
      </c>
      <c r="J336" s="107">
        <f>Tabell6[[#This Row],[EURO]]*Tabell6[[#This Row],[QTY]]</f>
        <v>0</v>
      </c>
      <c r="K336" s="141">
        <v>371922</v>
      </c>
    </row>
    <row r="337" spans="1:11" outlineLevel="1" x14ac:dyDescent="0.25">
      <c r="A337" s="130">
        <v>10</v>
      </c>
      <c r="B337" s="122">
        <v>7036110100159</v>
      </c>
      <c r="C337" s="129" t="s">
        <v>293</v>
      </c>
      <c r="D337" s="93"/>
      <c r="E337" s="105" t="s">
        <v>24</v>
      </c>
      <c r="F337" s="123">
        <v>1</v>
      </c>
      <c r="G337" s="106">
        <v>549</v>
      </c>
      <c r="H337" s="106">
        <f t="shared" si="15"/>
        <v>46.665000000000006</v>
      </c>
      <c r="I337" s="107">
        <f>Tabell6[[#This Row],[NOK]]*Tabell6[[#This Row],[QTY]]</f>
        <v>0</v>
      </c>
      <c r="J337" s="107">
        <f>Tabell6[[#This Row],[EURO]]*Tabell6[[#This Row],[QTY]]</f>
        <v>0</v>
      </c>
      <c r="K337" s="141">
        <v>681528</v>
      </c>
    </row>
    <row r="338" spans="1:11" outlineLevel="1" x14ac:dyDescent="0.25">
      <c r="A338" s="118">
        <v>11</v>
      </c>
      <c r="B338" s="122">
        <v>8710605021257</v>
      </c>
      <c r="C338" s="129" t="s">
        <v>294</v>
      </c>
      <c r="D338" s="93"/>
      <c r="E338" s="105" t="s">
        <v>24</v>
      </c>
      <c r="F338" s="123">
        <v>6</v>
      </c>
      <c r="G338" s="106">
        <v>149</v>
      </c>
      <c r="H338" s="106">
        <f t="shared" si="15"/>
        <v>12.665000000000001</v>
      </c>
      <c r="I338" s="107">
        <f>Tabell6[[#This Row],[NOK]]*Tabell6[[#This Row],[QTY]]</f>
        <v>0</v>
      </c>
      <c r="J338" s="107">
        <f>Tabell6[[#This Row],[EURO]]*Tabell6[[#This Row],[QTY]]</f>
        <v>0</v>
      </c>
      <c r="K338" s="141">
        <v>2652857</v>
      </c>
    </row>
    <row r="339" spans="1:11" outlineLevel="1" x14ac:dyDescent="0.25">
      <c r="A339" s="130">
        <v>12</v>
      </c>
      <c r="B339" s="122">
        <v>7311312006448</v>
      </c>
      <c r="C339" s="129" t="s">
        <v>295</v>
      </c>
      <c r="D339" s="93"/>
      <c r="E339" s="105" t="s">
        <v>24</v>
      </c>
      <c r="F339" s="123">
        <v>6</v>
      </c>
      <c r="G339" s="106">
        <v>149</v>
      </c>
      <c r="H339" s="106">
        <f t="shared" si="15"/>
        <v>12.665000000000001</v>
      </c>
      <c r="I339" s="107">
        <f>Tabell6[[#This Row],[NOK]]*Tabell6[[#This Row],[QTY]]</f>
        <v>0</v>
      </c>
      <c r="J339" s="107">
        <f>Tabell6[[#This Row],[EURO]]*Tabell6[[#This Row],[QTY]]</f>
        <v>0</v>
      </c>
      <c r="K339" s="141">
        <v>5443957</v>
      </c>
    </row>
    <row r="340" spans="1:11" outlineLevel="1" x14ac:dyDescent="0.25">
      <c r="A340" s="118">
        <v>13</v>
      </c>
      <c r="B340" s="122">
        <v>7340191124004</v>
      </c>
      <c r="C340" s="129" t="s">
        <v>296</v>
      </c>
      <c r="D340" s="93"/>
      <c r="E340" s="105" t="s">
        <v>24</v>
      </c>
      <c r="F340" s="123">
        <v>12</v>
      </c>
      <c r="G340" s="106">
        <v>12.9</v>
      </c>
      <c r="H340" s="106">
        <f t="shared" si="15"/>
        <v>1.0965</v>
      </c>
      <c r="I340" s="107">
        <f>Tabell6[[#This Row],[NOK]]*Tabell6[[#This Row],[QTY]]</f>
        <v>0</v>
      </c>
      <c r="J340" s="107">
        <f>Tabell6[[#This Row],[EURO]]*Tabell6[[#This Row],[QTY]]</f>
        <v>0</v>
      </c>
      <c r="K340" s="141">
        <v>3052438</v>
      </c>
    </row>
    <row r="341" spans="1:11" outlineLevel="1" x14ac:dyDescent="0.25">
      <c r="A341" s="130">
        <v>14</v>
      </c>
      <c r="B341" s="122">
        <v>480031</v>
      </c>
      <c r="C341" s="129" t="s">
        <v>297</v>
      </c>
      <c r="D341" s="93"/>
      <c r="E341" s="105" t="s">
        <v>24</v>
      </c>
      <c r="F341" s="123">
        <v>6</v>
      </c>
      <c r="G341" s="106">
        <v>79.900000000000006</v>
      </c>
      <c r="H341" s="106">
        <f t="shared" si="15"/>
        <v>6.791500000000001</v>
      </c>
      <c r="I341" s="107">
        <f>Tabell6[[#This Row],[NOK]]*Tabell6[[#This Row],[QTY]]</f>
        <v>0</v>
      </c>
      <c r="J341" s="107">
        <f>Tabell6[[#This Row],[EURO]]*Tabell6[[#This Row],[QTY]]</f>
        <v>0</v>
      </c>
      <c r="K341" s="141">
        <v>547851</v>
      </c>
    </row>
    <row r="342" spans="1:11" outlineLevel="1" x14ac:dyDescent="0.25">
      <c r="A342" s="118">
        <v>15</v>
      </c>
      <c r="B342" s="122">
        <v>7035620040740</v>
      </c>
      <c r="C342" s="129" t="s">
        <v>298</v>
      </c>
      <c r="D342" s="93"/>
      <c r="E342" s="105" t="s">
        <v>24</v>
      </c>
      <c r="F342" s="123">
        <v>12</v>
      </c>
      <c r="G342" s="106">
        <v>29.9</v>
      </c>
      <c r="H342" s="106">
        <f t="shared" si="15"/>
        <v>2.5415000000000001</v>
      </c>
      <c r="I342" s="107">
        <f>Tabell6[[#This Row],[NOK]]*Tabell6[[#This Row],[QTY]]</f>
        <v>0</v>
      </c>
      <c r="J342" s="107">
        <f>Tabell6[[#This Row],[EURO]]*Tabell6[[#This Row],[QTY]]</f>
        <v>0</v>
      </c>
      <c r="K342" s="141">
        <v>4070140</v>
      </c>
    </row>
    <row r="343" spans="1:11" outlineLevel="1" x14ac:dyDescent="0.25">
      <c r="A343" s="130">
        <v>16</v>
      </c>
      <c r="B343" s="122">
        <v>6942853221253</v>
      </c>
      <c r="C343" s="129" t="s">
        <v>299</v>
      </c>
      <c r="D343" s="93"/>
      <c r="E343" s="105" t="s">
        <v>24</v>
      </c>
      <c r="F343" s="123">
        <v>6</v>
      </c>
      <c r="G343" s="106">
        <v>79.900000000000006</v>
      </c>
      <c r="H343" s="106">
        <f t="shared" si="15"/>
        <v>6.791500000000001</v>
      </c>
      <c r="I343" s="107">
        <f>Tabell6[[#This Row],[NOK]]*Tabell6[[#This Row],[QTY]]</f>
        <v>0</v>
      </c>
      <c r="J343" s="107">
        <f>Tabell6[[#This Row],[EURO]]*Tabell6[[#This Row],[QTY]]</f>
        <v>0</v>
      </c>
      <c r="K343" s="141">
        <v>3220019</v>
      </c>
    </row>
    <row r="344" spans="1:11" outlineLevel="1" x14ac:dyDescent="0.25">
      <c r="A344" s="118">
        <v>17</v>
      </c>
      <c r="B344" s="122">
        <v>7035620004568</v>
      </c>
      <c r="C344" s="129" t="s">
        <v>300</v>
      </c>
      <c r="D344" s="93"/>
      <c r="E344" s="105" t="s">
        <v>24</v>
      </c>
      <c r="F344" s="123">
        <v>6</v>
      </c>
      <c r="G344" s="106">
        <v>62.9</v>
      </c>
      <c r="H344" s="106">
        <f t="shared" si="15"/>
        <v>5.3465000000000007</v>
      </c>
      <c r="I344" s="107">
        <f>Tabell6[[#This Row],[NOK]]*Tabell6[[#This Row],[QTY]]</f>
        <v>0</v>
      </c>
      <c r="J344" s="107">
        <f>Tabell6[[#This Row],[EURO]]*Tabell6[[#This Row],[QTY]]</f>
        <v>0</v>
      </c>
      <c r="K344" s="141">
        <v>3082716</v>
      </c>
    </row>
    <row r="345" spans="1:11" outlineLevel="1" x14ac:dyDescent="0.25">
      <c r="A345" s="130">
        <v>18</v>
      </c>
      <c r="B345" s="122">
        <v>7340191108837</v>
      </c>
      <c r="C345" s="129" t="s">
        <v>301</v>
      </c>
      <c r="D345" s="93"/>
      <c r="E345" s="105" t="s">
        <v>24</v>
      </c>
      <c r="F345" s="123">
        <v>12</v>
      </c>
      <c r="G345" s="106">
        <v>13.9</v>
      </c>
      <c r="H345" s="106">
        <f t="shared" si="15"/>
        <v>1.1815000000000002</v>
      </c>
      <c r="I345" s="107">
        <f>Tabell6[[#This Row],[NOK]]*Tabell6[[#This Row],[QTY]]</f>
        <v>0</v>
      </c>
      <c r="J345" s="107">
        <f>Tabell6[[#This Row],[EURO]]*Tabell6[[#This Row],[QTY]]</f>
        <v>0</v>
      </c>
      <c r="K345" s="141">
        <v>11074</v>
      </c>
    </row>
    <row r="346" spans="1:11" outlineLevel="1" x14ac:dyDescent="0.25">
      <c r="A346" s="135">
        <v>19</v>
      </c>
      <c r="B346" s="133">
        <v>6410708434740</v>
      </c>
      <c r="C346" s="160" t="s">
        <v>302</v>
      </c>
      <c r="D346" s="93"/>
      <c r="E346" s="123" t="s">
        <v>24</v>
      </c>
      <c r="F346" s="123">
        <v>6</v>
      </c>
      <c r="G346" s="128">
        <v>59.9</v>
      </c>
      <c r="H346" s="106">
        <f t="shared" si="15"/>
        <v>5.0914999999999999</v>
      </c>
      <c r="I346" s="107">
        <f>Tabell6[[#This Row],[NOK]]*Tabell6[[#This Row],[QTY]]</f>
        <v>0</v>
      </c>
      <c r="J346" s="107">
        <f>Tabell6[[#This Row],[EURO]]*Tabell6[[#This Row],[QTY]]</f>
        <v>0</v>
      </c>
      <c r="K346" s="141">
        <v>12203963</v>
      </c>
    </row>
    <row r="347" spans="1:11" outlineLevel="1" x14ac:dyDescent="0.25">
      <c r="A347" s="132">
        <v>20</v>
      </c>
      <c r="B347" s="133">
        <v>7035620004681</v>
      </c>
      <c r="C347" s="160" t="s">
        <v>303</v>
      </c>
      <c r="D347" s="93"/>
      <c r="E347" s="123" t="s">
        <v>24</v>
      </c>
      <c r="F347" s="123">
        <v>6</v>
      </c>
      <c r="G347" s="128">
        <v>59.9</v>
      </c>
      <c r="H347" s="106">
        <f t="shared" si="15"/>
        <v>5.0914999999999999</v>
      </c>
      <c r="I347" s="107">
        <f>Tabell6[[#This Row],[NOK]]*Tabell6[[#This Row],[QTY]]</f>
        <v>0</v>
      </c>
      <c r="J347" s="107">
        <f>Tabell6[[#This Row],[EURO]]*Tabell6[[#This Row],[QTY]]</f>
        <v>0</v>
      </c>
      <c r="K347" s="141">
        <v>3082542</v>
      </c>
    </row>
    <row r="348" spans="1:11" outlineLevel="1" x14ac:dyDescent="0.25">
      <c r="A348" s="135">
        <v>21</v>
      </c>
      <c r="B348" s="133">
        <v>11194392222</v>
      </c>
      <c r="C348" s="159" t="s">
        <v>304</v>
      </c>
      <c r="D348" s="93"/>
      <c r="E348" s="123" t="s">
        <v>24</v>
      </c>
      <c r="F348" s="123">
        <v>6</v>
      </c>
      <c r="G348" s="128">
        <v>189</v>
      </c>
      <c r="H348" s="106">
        <f t="shared" si="15"/>
        <v>16.065000000000001</v>
      </c>
      <c r="I348" s="107">
        <f>Tabell6[[#This Row],[NOK]]*Tabell6[[#This Row],[QTY]]</f>
        <v>0</v>
      </c>
      <c r="J348" s="107">
        <f>Tabell6[[#This Row],[EURO]]*Tabell6[[#This Row],[QTY]]</f>
        <v>0</v>
      </c>
      <c r="K348" s="141">
        <v>710160</v>
      </c>
    </row>
    <row r="349" spans="1:11" outlineLevel="1" x14ac:dyDescent="0.25">
      <c r="A349" s="132">
        <v>22</v>
      </c>
      <c r="B349" s="133">
        <v>7036340058169</v>
      </c>
      <c r="C349" s="159" t="s">
        <v>305</v>
      </c>
      <c r="D349" s="93"/>
      <c r="E349" s="123" t="s">
        <v>24</v>
      </c>
      <c r="F349" s="123">
        <v>6</v>
      </c>
      <c r="G349" s="128">
        <v>169</v>
      </c>
      <c r="H349" s="106">
        <f t="shared" si="15"/>
        <v>14.365</v>
      </c>
      <c r="I349" s="107">
        <f>Tabell6[[#This Row],[NOK]]*Tabell6[[#This Row],[QTY]]</f>
        <v>0</v>
      </c>
      <c r="J349" s="107">
        <f>Tabell6[[#This Row],[EURO]]*Tabell6[[#This Row],[QTY]]</f>
        <v>0</v>
      </c>
      <c r="K349" s="141">
        <v>5971809</v>
      </c>
    </row>
    <row r="350" spans="1:11" outlineLevel="1" x14ac:dyDescent="0.25">
      <c r="A350" s="135">
        <v>23</v>
      </c>
      <c r="B350" s="133">
        <v>8024046004510</v>
      </c>
      <c r="C350" s="159" t="s">
        <v>306</v>
      </c>
      <c r="D350" s="93"/>
      <c r="E350" s="123" t="s">
        <v>24</v>
      </c>
      <c r="F350" s="123">
        <v>6</v>
      </c>
      <c r="G350" s="128">
        <v>149</v>
      </c>
      <c r="H350" s="106">
        <f t="shared" si="15"/>
        <v>12.665000000000001</v>
      </c>
      <c r="I350" s="107">
        <f>Tabell6[[#This Row],[NOK]]*Tabell6[[#This Row],[QTY]]</f>
        <v>0</v>
      </c>
      <c r="J350" s="107">
        <f>Tabell6[[#This Row],[EURO]]*Tabell6[[#This Row],[QTY]]</f>
        <v>0</v>
      </c>
      <c r="K350" s="141">
        <v>1901651</v>
      </c>
    </row>
    <row r="351" spans="1:11" outlineLevel="1" x14ac:dyDescent="0.25">
      <c r="A351" s="132">
        <v>24</v>
      </c>
      <c r="B351" s="133">
        <v>7035620043819</v>
      </c>
      <c r="C351" s="159" t="s">
        <v>307</v>
      </c>
      <c r="D351" s="93"/>
      <c r="E351" s="123" t="s">
        <v>24</v>
      </c>
      <c r="F351" s="123">
        <v>4</v>
      </c>
      <c r="G351" s="128">
        <v>299</v>
      </c>
      <c r="H351" s="106">
        <f t="shared" si="15"/>
        <v>25.415000000000003</v>
      </c>
      <c r="I351" s="107">
        <f>Tabell6[[#This Row],[NOK]]*Tabell6[[#This Row],[QTY]]</f>
        <v>0</v>
      </c>
      <c r="J351" s="107">
        <f>Tabell6[[#This Row],[EURO]]*Tabell6[[#This Row],[QTY]]</f>
        <v>0</v>
      </c>
      <c r="K351" s="141">
        <v>3179066</v>
      </c>
    </row>
    <row r="352" spans="1:11" outlineLevel="1" x14ac:dyDescent="0.25">
      <c r="A352" s="135">
        <v>25</v>
      </c>
      <c r="B352" s="133">
        <v>7035620042843</v>
      </c>
      <c r="C352" s="159" t="s">
        <v>308</v>
      </c>
      <c r="D352" s="93"/>
      <c r="E352" s="123" t="s">
        <v>24</v>
      </c>
      <c r="F352" s="123">
        <v>4</v>
      </c>
      <c r="G352" s="128">
        <v>299</v>
      </c>
      <c r="H352" s="106">
        <f t="shared" si="15"/>
        <v>25.415000000000003</v>
      </c>
      <c r="I352" s="107">
        <f>Tabell6[[#This Row],[NOK]]*Tabell6[[#This Row],[QTY]]</f>
        <v>0</v>
      </c>
      <c r="J352" s="107">
        <f>Tabell6[[#This Row],[EURO]]*Tabell6[[#This Row],[QTY]]</f>
        <v>0</v>
      </c>
      <c r="K352" s="141">
        <v>3178860</v>
      </c>
    </row>
    <row r="353" spans="1:11" outlineLevel="1" x14ac:dyDescent="0.25">
      <c r="A353" s="130">
        <v>26</v>
      </c>
      <c r="B353" s="133">
        <v>8410159044107</v>
      </c>
      <c r="C353" s="129" t="s">
        <v>309</v>
      </c>
      <c r="D353" s="93"/>
      <c r="E353" s="105" t="s">
        <v>24</v>
      </c>
      <c r="F353" s="123">
        <v>6</v>
      </c>
      <c r="G353" s="106">
        <v>49.9</v>
      </c>
      <c r="H353" s="106">
        <f t="shared" si="15"/>
        <v>4.2415000000000003</v>
      </c>
      <c r="I353" s="107">
        <f>Tabell6[[#This Row],[NOK]]*Tabell6[[#This Row],[QTY]]</f>
        <v>0</v>
      </c>
      <c r="J353" s="107">
        <f>Tabell6[[#This Row],[EURO]]*Tabell6[[#This Row],[QTY]]</f>
        <v>0</v>
      </c>
      <c r="K353" s="141">
        <v>712232</v>
      </c>
    </row>
    <row r="354" spans="1:11" outlineLevel="1" x14ac:dyDescent="0.25">
      <c r="A354" s="130">
        <v>27</v>
      </c>
      <c r="B354" s="133">
        <v>4002442803948</v>
      </c>
      <c r="C354" s="129" t="s">
        <v>310</v>
      </c>
      <c r="D354" s="93"/>
      <c r="E354" s="105" t="s">
        <v>24</v>
      </c>
      <c r="F354" s="123">
        <v>6</v>
      </c>
      <c r="G354" s="106">
        <v>49.9</v>
      </c>
      <c r="H354" s="106">
        <f t="shared" si="15"/>
        <v>4.2415000000000003</v>
      </c>
      <c r="I354" s="107">
        <f>Tabell6[[#This Row],[NOK]]*Tabell6[[#This Row],[QTY]]</f>
        <v>0</v>
      </c>
      <c r="J354" s="107">
        <f>Tabell6[[#This Row],[EURO]]*Tabell6[[#This Row],[QTY]]</f>
        <v>0</v>
      </c>
      <c r="K354" s="141">
        <v>4769139</v>
      </c>
    </row>
    <row r="355" spans="1:11" outlineLevel="1" x14ac:dyDescent="0.25">
      <c r="A355" s="132">
        <v>28</v>
      </c>
      <c r="B355" s="122">
        <v>7311040072005</v>
      </c>
      <c r="C355" s="159" t="s">
        <v>311</v>
      </c>
      <c r="D355" s="93"/>
      <c r="E355" s="105" t="s">
        <v>24</v>
      </c>
      <c r="F355" s="123">
        <v>12</v>
      </c>
      <c r="G355" s="106">
        <v>34.9</v>
      </c>
      <c r="H355" s="106">
        <f t="shared" si="15"/>
        <v>2.9664999999999999</v>
      </c>
      <c r="I355" s="107">
        <f>Tabell6[[#This Row],[NOK]]*Tabell6[[#This Row],[QTY]]</f>
        <v>0</v>
      </c>
      <c r="J355" s="107">
        <f>Tabell6[[#This Row],[EURO]]*Tabell6[[#This Row],[QTY]]</f>
        <v>0</v>
      </c>
      <c r="K355" s="141">
        <v>529651</v>
      </c>
    </row>
    <row r="356" spans="1:11" outlineLevel="1" x14ac:dyDescent="0.25">
      <c r="A356" s="135">
        <v>29</v>
      </c>
      <c r="B356" s="122">
        <v>7025110061577</v>
      </c>
      <c r="C356" s="159" t="s">
        <v>312</v>
      </c>
      <c r="D356" s="93"/>
      <c r="E356" s="105" t="s">
        <v>24</v>
      </c>
      <c r="F356" s="123">
        <v>1</v>
      </c>
      <c r="G356" s="106">
        <v>46.9</v>
      </c>
      <c r="H356" s="106">
        <f t="shared" si="15"/>
        <v>3.9865000000000004</v>
      </c>
      <c r="I356" s="107">
        <f>Tabell6[[#This Row],[NOK]]*Tabell6[[#This Row],[QTY]]</f>
        <v>0</v>
      </c>
      <c r="J356" s="107">
        <f>Tabell6[[#This Row],[EURO]]*Tabell6[[#This Row],[QTY]]</f>
        <v>0</v>
      </c>
      <c r="K356" s="141">
        <v>714188</v>
      </c>
    </row>
    <row r="357" spans="1:11" outlineLevel="1" x14ac:dyDescent="0.25">
      <c r="A357" s="132">
        <v>30</v>
      </c>
      <c r="B357" s="122">
        <v>7340011341444</v>
      </c>
      <c r="C357" s="129" t="s">
        <v>313</v>
      </c>
      <c r="D357" s="93"/>
      <c r="E357" s="105" t="s">
        <v>24</v>
      </c>
      <c r="F357" s="123">
        <v>1</v>
      </c>
      <c r="G357" s="106">
        <v>80.900000000000006</v>
      </c>
      <c r="H357" s="106">
        <f t="shared" si="15"/>
        <v>6.8765000000000009</v>
      </c>
      <c r="I357" s="107">
        <f>Tabell6[[#This Row],[NOK]]*Tabell6[[#This Row],[QTY]]</f>
        <v>0</v>
      </c>
      <c r="J357" s="107">
        <f>Tabell6[[#This Row],[EURO]]*Tabell6[[#This Row],[QTY]]</f>
        <v>0</v>
      </c>
      <c r="K357" s="141">
        <v>575662</v>
      </c>
    </row>
    <row r="358" spans="1:11" outlineLevel="1" x14ac:dyDescent="0.25">
      <c r="A358" s="135">
        <v>31</v>
      </c>
      <c r="B358" s="122">
        <v>7340011437192</v>
      </c>
      <c r="C358" s="129" t="s">
        <v>314</v>
      </c>
      <c r="D358" s="93"/>
      <c r="E358" s="105" t="s">
        <v>24</v>
      </c>
      <c r="F358" s="123">
        <v>1</v>
      </c>
      <c r="G358" s="106">
        <v>89.9</v>
      </c>
      <c r="H358" s="106">
        <f t="shared" si="15"/>
        <v>7.6415000000000006</v>
      </c>
      <c r="I358" s="107">
        <f>Tabell6[[#This Row],[NOK]]*Tabell6[[#This Row],[QTY]]</f>
        <v>0</v>
      </c>
      <c r="J358" s="107">
        <f>Tabell6[[#This Row],[EURO]]*Tabell6[[#This Row],[QTY]]</f>
        <v>0</v>
      </c>
      <c r="K358" s="141">
        <v>308266</v>
      </c>
    </row>
    <row r="359" spans="1:11" outlineLevel="1" x14ac:dyDescent="0.25">
      <c r="A359" s="130">
        <v>32</v>
      </c>
      <c r="B359" s="122">
        <v>8001420001327</v>
      </c>
      <c r="C359" s="129" t="s">
        <v>315</v>
      </c>
      <c r="D359" s="93"/>
      <c r="E359" s="105" t="s">
        <v>24</v>
      </c>
      <c r="F359" s="123">
        <v>12</v>
      </c>
      <c r="G359" s="106">
        <v>42.9</v>
      </c>
      <c r="H359" s="106">
        <f t="shared" si="15"/>
        <v>3.6465000000000001</v>
      </c>
      <c r="I359" s="107">
        <f>Tabell6[[#This Row],[NOK]]*Tabell6[[#This Row],[QTY]]</f>
        <v>0</v>
      </c>
      <c r="J359" s="107">
        <f>Tabell6[[#This Row],[EURO]]*Tabell6[[#This Row],[QTY]]</f>
        <v>0</v>
      </c>
      <c r="K359" s="141">
        <v>5802301</v>
      </c>
    </row>
    <row r="360" spans="1:11" outlineLevel="1" x14ac:dyDescent="0.25">
      <c r="A360" s="130">
        <v>33</v>
      </c>
      <c r="B360" s="122">
        <v>7035620019395</v>
      </c>
      <c r="C360" s="129" t="s">
        <v>316</v>
      </c>
      <c r="D360" s="93"/>
      <c r="E360" s="105" t="s">
        <v>24</v>
      </c>
      <c r="F360" s="123">
        <v>3</v>
      </c>
      <c r="G360" s="106">
        <v>169</v>
      </c>
      <c r="H360" s="106">
        <f t="shared" ref="H360:H392" si="16">G360*$N$1</f>
        <v>14.365</v>
      </c>
      <c r="I360" s="107">
        <f>Tabell6[[#This Row],[NOK]]*Tabell6[[#This Row],[QTY]]</f>
        <v>0</v>
      </c>
      <c r="J360" s="107">
        <f>Tabell6[[#This Row],[EURO]]*Tabell6[[#This Row],[QTY]]</f>
        <v>0</v>
      </c>
      <c r="K360" s="141">
        <v>3097847</v>
      </c>
    </row>
    <row r="361" spans="1:11" outlineLevel="1" x14ac:dyDescent="0.25">
      <c r="A361" s="130">
        <v>34</v>
      </c>
      <c r="B361" s="122">
        <v>7037619171497</v>
      </c>
      <c r="C361" s="129" t="s">
        <v>317</v>
      </c>
      <c r="D361" s="93"/>
      <c r="E361" s="105" t="s">
        <v>24</v>
      </c>
      <c r="F361" s="123">
        <v>1</v>
      </c>
      <c r="G361" s="106">
        <v>179</v>
      </c>
      <c r="H361" s="106">
        <f t="shared" si="16"/>
        <v>15.215000000000002</v>
      </c>
      <c r="I361" s="107">
        <f>Tabell6[[#This Row],[NOK]]*Tabell6[[#This Row],[QTY]]</f>
        <v>0</v>
      </c>
      <c r="J361" s="107">
        <f>Tabell6[[#This Row],[EURO]]*Tabell6[[#This Row],[QTY]]</f>
        <v>0</v>
      </c>
      <c r="K361" s="141">
        <v>1959477</v>
      </c>
    </row>
    <row r="362" spans="1:11" outlineLevel="1" x14ac:dyDescent="0.25">
      <c r="A362" s="130">
        <v>35</v>
      </c>
      <c r="B362" s="122">
        <v>8076809001014</v>
      </c>
      <c r="C362" s="129" t="s">
        <v>318</v>
      </c>
      <c r="D362" s="93"/>
      <c r="E362" s="105" t="s">
        <v>24</v>
      </c>
      <c r="F362" s="123">
        <v>1</v>
      </c>
      <c r="G362" s="106">
        <v>399</v>
      </c>
      <c r="H362" s="106">
        <f t="shared" si="16"/>
        <v>33.914999999999999</v>
      </c>
      <c r="I362" s="107">
        <f>Tabell6[[#This Row],[NOK]]*Tabell6[[#This Row],[QTY]]</f>
        <v>0</v>
      </c>
      <c r="J362" s="107">
        <f>Tabell6[[#This Row],[EURO]]*Tabell6[[#This Row],[QTY]]</f>
        <v>0</v>
      </c>
      <c r="K362" s="141">
        <v>474593</v>
      </c>
    </row>
    <row r="363" spans="1:11" outlineLevel="1" x14ac:dyDescent="0.25">
      <c r="A363" s="132">
        <v>36</v>
      </c>
      <c r="B363" s="122">
        <v>7025165017413</v>
      </c>
      <c r="C363" s="129" t="s">
        <v>319</v>
      </c>
      <c r="D363" s="93"/>
      <c r="E363" s="105" t="s">
        <v>24</v>
      </c>
      <c r="F363" s="123">
        <v>8</v>
      </c>
      <c r="G363" s="106">
        <v>37.9</v>
      </c>
      <c r="H363" s="106">
        <f t="shared" si="16"/>
        <v>3.2215000000000003</v>
      </c>
      <c r="I363" s="107">
        <f>Tabell6[[#This Row],[NOK]]*Tabell6[[#This Row],[QTY]]</f>
        <v>0</v>
      </c>
      <c r="J363" s="107">
        <f>Tabell6[[#This Row],[EURO]]*Tabell6[[#This Row],[QTY]]</f>
        <v>0</v>
      </c>
      <c r="K363" s="141">
        <v>3089133</v>
      </c>
    </row>
    <row r="364" spans="1:11" outlineLevel="1" x14ac:dyDescent="0.25">
      <c r="A364" s="135">
        <v>37</v>
      </c>
      <c r="B364" s="122">
        <v>7025165017437</v>
      </c>
      <c r="C364" s="129" t="s">
        <v>320</v>
      </c>
      <c r="D364" s="93"/>
      <c r="E364" s="105" t="s">
        <v>24</v>
      </c>
      <c r="F364" s="123">
        <v>1</v>
      </c>
      <c r="G364" s="106">
        <v>37.9</v>
      </c>
      <c r="H364" s="106">
        <f t="shared" si="16"/>
        <v>3.2215000000000003</v>
      </c>
      <c r="I364" s="107">
        <f>Tabell6[[#This Row],[NOK]]*Tabell6[[#This Row],[QTY]]</f>
        <v>0</v>
      </c>
      <c r="J364" s="107">
        <f>Tabell6[[#This Row],[EURO]]*Tabell6[[#This Row],[QTY]]</f>
        <v>0</v>
      </c>
      <c r="K364" s="141"/>
    </row>
    <row r="365" spans="1:11" outlineLevel="1" x14ac:dyDescent="0.25">
      <c r="A365" s="132">
        <v>38</v>
      </c>
      <c r="B365" s="122">
        <v>7340011445203</v>
      </c>
      <c r="C365" s="129" t="s">
        <v>321</v>
      </c>
      <c r="D365" s="93"/>
      <c r="E365" s="105" t="s">
        <v>24</v>
      </c>
      <c r="F365" s="123">
        <v>1</v>
      </c>
      <c r="G365" s="137">
        <v>28.9</v>
      </c>
      <c r="H365" s="106">
        <f t="shared" si="16"/>
        <v>2.4565000000000001</v>
      </c>
      <c r="I365" s="107">
        <f>Tabell6[[#This Row],[NOK]]*Tabell6[[#This Row],[QTY]]</f>
        <v>0</v>
      </c>
      <c r="J365" s="107">
        <f>Tabell6[[#This Row],[EURO]]*Tabell6[[#This Row],[QTY]]</f>
        <v>0</v>
      </c>
      <c r="K365" s="141">
        <v>486100</v>
      </c>
    </row>
    <row r="366" spans="1:11" outlineLevel="1" x14ac:dyDescent="0.25">
      <c r="A366" s="135">
        <v>39</v>
      </c>
      <c r="B366" s="122">
        <v>7340011488651</v>
      </c>
      <c r="C366" s="129" t="s">
        <v>322</v>
      </c>
      <c r="D366" s="93"/>
      <c r="E366" s="105" t="s">
        <v>24</v>
      </c>
      <c r="F366" s="123">
        <v>1</v>
      </c>
      <c r="G366" s="106">
        <v>35.9</v>
      </c>
      <c r="H366" s="106">
        <f t="shared" si="16"/>
        <v>3.0514999999999999</v>
      </c>
      <c r="I366" s="107">
        <f>Tabell6[[#This Row],[NOK]]*Tabell6[[#This Row],[QTY]]</f>
        <v>0</v>
      </c>
      <c r="J366" s="107">
        <f>Tabell6[[#This Row],[EURO]]*Tabell6[[#This Row],[QTY]]</f>
        <v>0</v>
      </c>
      <c r="K366" s="141">
        <v>112425</v>
      </c>
    </row>
    <row r="367" spans="1:11" outlineLevel="1" x14ac:dyDescent="0.25">
      <c r="A367" s="132">
        <v>40</v>
      </c>
      <c r="B367" s="122">
        <v>7039317005449</v>
      </c>
      <c r="C367" s="129" t="s">
        <v>323</v>
      </c>
      <c r="D367" s="93"/>
      <c r="E367" s="105" t="s">
        <v>24</v>
      </c>
      <c r="F367" s="123">
        <v>20</v>
      </c>
      <c r="G367" s="106">
        <v>21.9</v>
      </c>
      <c r="H367" s="106">
        <f t="shared" si="16"/>
        <v>1.8614999999999999</v>
      </c>
      <c r="I367" s="107">
        <f>Tabell6[[#This Row],[NOK]]*Tabell6[[#This Row],[QTY]]</f>
        <v>0</v>
      </c>
      <c r="J367" s="107">
        <f>Tabell6[[#This Row],[EURO]]*Tabell6[[#This Row],[QTY]]</f>
        <v>0</v>
      </c>
      <c r="K367" s="141">
        <v>2836104</v>
      </c>
    </row>
    <row r="368" spans="1:11" outlineLevel="1" x14ac:dyDescent="0.25">
      <c r="A368" s="135">
        <v>41</v>
      </c>
      <c r="B368" s="122">
        <v>5000396021202</v>
      </c>
      <c r="C368" s="129" t="s">
        <v>324</v>
      </c>
      <c r="D368" s="93"/>
      <c r="E368" s="105" t="s">
        <v>24</v>
      </c>
      <c r="F368" s="123">
        <v>12</v>
      </c>
      <c r="G368" s="106">
        <v>28.9</v>
      </c>
      <c r="H368" s="106">
        <f t="shared" si="16"/>
        <v>2.4565000000000001</v>
      </c>
      <c r="I368" s="107">
        <f>Tabell6[[#This Row],[NOK]]*Tabell6[[#This Row],[QTY]]</f>
        <v>0</v>
      </c>
      <c r="J368" s="107">
        <f>Tabell6[[#This Row],[EURO]]*Tabell6[[#This Row],[QTY]]</f>
        <v>0</v>
      </c>
      <c r="K368" s="141">
        <v>2008225</v>
      </c>
    </row>
    <row r="369" spans="1:11" outlineLevel="1" x14ac:dyDescent="0.25">
      <c r="A369" s="132">
        <v>42</v>
      </c>
      <c r="B369" s="122">
        <v>4001518722930</v>
      </c>
      <c r="C369" s="129" t="s">
        <v>325</v>
      </c>
      <c r="D369" s="93"/>
      <c r="E369" s="105" t="s">
        <v>24</v>
      </c>
      <c r="F369" s="123">
        <v>1</v>
      </c>
      <c r="G369" s="106">
        <v>31.9</v>
      </c>
      <c r="H369" s="106">
        <f t="shared" si="16"/>
        <v>2.7115</v>
      </c>
      <c r="I369" s="107">
        <f>Tabell6[[#This Row],[NOK]]*Tabell6[[#This Row],[QTY]]</f>
        <v>0</v>
      </c>
      <c r="J369" s="107">
        <f>Tabell6[[#This Row],[EURO]]*Tabell6[[#This Row],[QTY]]</f>
        <v>0</v>
      </c>
      <c r="K369" s="141"/>
    </row>
    <row r="370" spans="1:11" outlineLevel="1" x14ac:dyDescent="0.25">
      <c r="A370" s="130">
        <v>43</v>
      </c>
      <c r="B370" s="122">
        <v>7340011336808</v>
      </c>
      <c r="C370" s="129" t="s">
        <v>326</v>
      </c>
      <c r="D370" s="93"/>
      <c r="E370" s="105" t="s">
        <v>24</v>
      </c>
      <c r="F370" s="123">
        <v>14</v>
      </c>
      <c r="G370" s="106">
        <v>43.9</v>
      </c>
      <c r="H370" s="106">
        <f t="shared" si="16"/>
        <v>3.7315</v>
      </c>
      <c r="I370" s="107">
        <f>Tabell6[[#This Row],[NOK]]*Tabell6[[#This Row],[QTY]]</f>
        <v>0</v>
      </c>
      <c r="J370" s="107">
        <f>Tabell6[[#This Row],[EURO]]*Tabell6[[#This Row],[QTY]]</f>
        <v>0</v>
      </c>
      <c r="K370" s="141">
        <v>5700448</v>
      </c>
    </row>
    <row r="371" spans="1:11" outlineLevel="1" x14ac:dyDescent="0.25">
      <c r="A371" s="130">
        <v>44</v>
      </c>
      <c r="B371" s="122">
        <v>7340191126800</v>
      </c>
      <c r="C371" s="129" t="s">
        <v>327</v>
      </c>
      <c r="D371" s="93"/>
      <c r="E371" s="105" t="s">
        <v>24</v>
      </c>
      <c r="F371" s="123">
        <v>10</v>
      </c>
      <c r="G371" s="106">
        <v>45.9</v>
      </c>
      <c r="H371" s="106">
        <f t="shared" si="16"/>
        <v>3.9015</v>
      </c>
      <c r="I371" s="107">
        <f>Tabell6[[#This Row],[NOK]]*Tabell6[[#This Row],[QTY]]</f>
        <v>0</v>
      </c>
      <c r="J371" s="107">
        <f>Tabell6[[#This Row],[EURO]]*Tabell6[[#This Row],[QTY]]</f>
        <v>0</v>
      </c>
      <c r="K371" s="141">
        <v>3230752</v>
      </c>
    </row>
    <row r="372" spans="1:11" outlineLevel="1" x14ac:dyDescent="0.25">
      <c r="A372" s="130">
        <v>45</v>
      </c>
      <c r="B372" s="122">
        <v>7340011492450</v>
      </c>
      <c r="C372" s="129" t="s">
        <v>328</v>
      </c>
      <c r="D372" s="93"/>
      <c r="E372" s="105" t="s">
        <v>24</v>
      </c>
      <c r="F372" s="123">
        <v>12</v>
      </c>
      <c r="G372" s="106">
        <v>30.9</v>
      </c>
      <c r="H372" s="106">
        <f t="shared" si="16"/>
        <v>2.6265000000000001</v>
      </c>
      <c r="I372" s="107">
        <f>Tabell6[[#This Row],[NOK]]*Tabell6[[#This Row],[QTY]]</f>
        <v>0</v>
      </c>
      <c r="J372" s="107">
        <f>Tabell6[[#This Row],[EURO]]*Tabell6[[#This Row],[QTY]]</f>
        <v>0</v>
      </c>
      <c r="K372" s="141">
        <v>3226230</v>
      </c>
    </row>
    <row r="373" spans="1:11" outlineLevel="1" x14ac:dyDescent="0.25">
      <c r="A373" s="130">
        <v>46</v>
      </c>
      <c r="B373" s="122">
        <v>7039317007108</v>
      </c>
      <c r="C373" s="129" t="s">
        <v>329</v>
      </c>
      <c r="D373" s="93"/>
      <c r="E373" s="105" t="s">
        <v>24</v>
      </c>
      <c r="F373" s="123">
        <v>18</v>
      </c>
      <c r="G373" s="106">
        <v>35.9</v>
      </c>
      <c r="H373" s="106">
        <f t="shared" si="16"/>
        <v>3.0514999999999999</v>
      </c>
      <c r="I373" s="107">
        <f>Tabell6[[#This Row],[NOK]]*Tabell6[[#This Row],[QTY]]</f>
        <v>0</v>
      </c>
      <c r="J373" s="107">
        <f>Tabell6[[#This Row],[EURO]]*Tabell6[[#This Row],[QTY]]</f>
        <v>0</v>
      </c>
      <c r="K373" s="141">
        <v>2934842</v>
      </c>
    </row>
    <row r="374" spans="1:11" outlineLevel="1" x14ac:dyDescent="0.25">
      <c r="A374" s="130">
        <v>47</v>
      </c>
      <c r="B374" s="122">
        <v>8722700210641</v>
      </c>
      <c r="C374" s="129" t="s">
        <v>330</v>
      </c>
      <c r="D374" s="93"/>
      <c r="E374" s="105" t="s">
        <v>24</v>
      </c>
      <c r="F374" s="123">
        <v>12</v>
      </c>
      <c r="G374" s="106">
        <v>34.9</v>
      </c>
      <c r="H374" s="106">
        <f t="shared" si="16"/>
        <v>2.9664999999999999</v>
      </c>
      <c r="I374" s="107">
        <f>Tabell6[[#This Row],[NOK]]*Tabell6[[#This Row],[QTY]]</f>
        <v>0</v>
      </c>
      <c r="J374" s="107">
        <f>Tabell6[[#This Row],[EURO]]*Tabell6[[#This Row],[QTY]]</f>
        <v>0</v>
      </c>
      <c r="K374" s="141">
        <v>1760859</v>
      </c>
    </row>
    <row r="375" spans="1:11" outlineLevel="1" x14ac:dyDescent="0.25">
      <c r="A375" s="130">
        <v>48</v>
      </c>
      <c r="B375" s="122">
        <v>8722700055525</v>
      </c>
      <c r="C375" s="129" t="s">
        <v>331</v>
      </c>
      <c r="D375" s="93"/>
      <c r="E375" s="105" t="s">
        <v>24</v>
      </c>
      <c r="F375" s="123">
        <v>12</v>
      </c>
      <c r="G375" s="106">
        <v>35.9</v>
      </c>
      <c r="H375" s="106">
        <f t="shared" si="16"/>
        <v>3.0514999999999999</v>
      </c>
      <c r="I375" s="107">
        <f>Tabell6[[#This Row],[NOK]]*Tabell6[[#This Row],[QTY]]</f>
        <v>0</v>
      </c>
      <c r="J375" s="107">
        <f>Tabell6[[#This Row],[EURO]]*Tabell6[[#This Row],[QTY]]</f>
        <v>0</v>
      </c>
      <c r="K375" s="141">
        <v>1736297</v>
      </c>
    </row>
    <row r="376" spans="1:11" outlineLevel="1" x14ac:dyDescent="0.25">
      <c r="A376" s="130">
        <v>49</v>
      </c>
      <c r="B376" s="122">
        <v>70177173302</v>
      </c>
      <c r="C376" s="129" t="s">
        <v>332</v>
      </c>
      <c r="D376" s="93"/>
      <c r="E376" s="105" t="s">
        <v>24</v>
      </c>
      <c r="F376" s="123">
        <v>12</v>
      </c>
      <c r="G376" s="106">
        <v>82.9</v>
      </c>
      <c r="H376" s="106">
        <f t="shared" si="16"/>
        <v>7.0465000000000009</v>
      </c>
      <c r="I376" s="107">
        <f>Tabell6[[#This Row],[NOK]]*Tabell6[[#This Row],[QTY]]</f>
        <v>0</v>
      </c>
      <c r="J376" s="107">
        <f>Tabell6[[#This Row],[EURO]]*Tabell6[[#This Row],[QTY]]</f>
        <v>0</v>
      </c>
      <c r="K376" s="141">
        <v>4426862</v>
      </c>
    </row>
    <row r="377" spans="1:11" outlineLevel="1" x14ac:dyDescent="0.25">
      <c r="A377" s="130">
        <v>50</v>
      </c>
      <c r="B377" s="122">
        <v>70177077563</v>
      </c>
      <c r="C377" s="129" t="s">
        <v>333</v>
      </c>
      <c r="D377" s="93"/>
      <c r="E377" s="105" t="s">
        <v>24</v>
      </c>
      <c r="F377" s="123">
        <v>12</v>
      </c>
      <c r="G377" s="106">
        <v>50.9</v>
      </c>
      <c r="H377" s="106">
        <f t="shared" si="16"/>
        <v>4.3265000000000002</v>
      </c>
      <c r="I377" s="107">
        <f>Tabell6[[#This Row],[NOK]]*Tabell6[[#This Row],[QTY]]</f>
        <v>0</v>
      </c>
      <c r="J377" s="107">
        <f>Tabell6[[#This Row],[EURO]]*Tabell6[[#This Row],[QTY]]</f>
        <v>0</v>
      </c>
      <c r="K377" s="141">
        <v>4426979</v>
      </c>
    </row>
    <row r="378" spans="1:11" outlineLevel="1" x14ac:dyDescent="0.25">
      <c r="A378" s="130">
        <v>51</v>
      </c>
      <c r="B378" s="122">
        <v>8000070027442</v>
      </c>
      <c r="C378" s="129" t="s">
        <v>334</v>
      </c>
      <c r="D378" s="93"/>
      <c r="E378" s="105" t="s">
        <v>24</v>
      </c>
      <c r="F378" s="123">
        <v>12</v>
      </c>
      <c r="G378" s="106">
        <v>219</v>
      </c>
      <c r="H378" s="106">
        <f t="shared" si="16"/>
        <v>18.615000000000002</v>
      </c>
      <c r="I378" s="107">
        <f>Tabell6[[#This Row],[NOK]]*Tabell6[[#This Row],[QTY]]</f>
        <v>0</v>
      </c>
      <c r="J378" s="107">
        <f>Tabell6[[#This Row],[EURO]]*Tabell6[[#This Row],[QTY]]</f>
        <v>0</v>
      </c>
      <c r="K378" s="141"/>
    </row>
    <row r="379" spans="1:11" outlineLevel="1" x14ac:dyDescent="0.25">
      <c r="A379" s="135">
        <v>52</v>
      </c>
      <c r="B379" s="122">
        <v>8000070035898</v>
      </c>
      <c r="C379" s="129" t="s">
        <v>335</v>
      </c>
      <c r="D379" s="93"/>
      <c r="E379" s="105" t="s">
        <v>24</v>
      </c>
      <c r="F379" s="123">
        <v>1</v>
      </c>
      <c r="G379" s="106">
        <v>299</v>
      </c>
      <c r="H379" s="106">
        <f t="shared" si="16"/>
        <v>25.415000000000003</v>
      </c>
      <c r="I379" s="107">
        <f>Tabell6[[#This Row],[NOK]]*Tabell6[[#This Row],[QTY]]</f>
        <v>0</v>
      </c>
      <c r="J379" s="107">
        <f>Tabell6[[#This Row],[EURO]]*Tabell6[[#This Row],[QTY]]</f>
        <v>0</v>
      </c>
      <c r="K379" s="141">
        <v>2022770</v>
      </c>
    </row>
    <row r="380" spans="1:11" outlineLevel="1" x14ac:dyDescent="0.25">
      <c r="A380" s="132">
        <v>53</v>
      </c>
      <c r="B380" s="122">
        <v>8000070025400</v>
      </c>
      <c r="C380" s="129" t="s">
        <v>336</v>
      </c>
      <c r="D380" s="93"/>
      <c r="E380" s="105" t="s">
        <v>24</v>
      </c>
      <c r="F380" s="123">
        <v>1</v>
      </c>
      <c r="G380" s="106">
        <v>319</v>
      </c>
      <c r="H380" s="106">
        <f t="shared" si="16"/>
        <v>27.115000000000002</v>
      </c>
      <c r="I380" s="107">
        <f>Tabell6[[#This Row],[NOK]]*Tabell6[[#This Row],[QTY]]</f>
        <v>0</v>
      </c>
      <c r="J380" s="107">
        <f>Tabell6[[#This Row],[EURO]]*Tabell6[[#This Row],[QTY]]</f>
        <v>0</v>
      </c>
      <c r="K380" s="141"/>
    </row>
    <row r="381" spans="1:11" outlineLevel="1" x14ac:dyDescent="0.25">
      <c r="A381" s="135">
        <v>54</v>
      </c>
      <c r="B381" s="122">
        <v>7613036932172</v>
      </c>
      <c r="C381" s="129" t="s">
        <v>337</v>
      </c>
      <c r="D381" s="93"/>
      <c r="E381" s="105" t="s">
        <v>24</v>
      </c>
      <c r="F381" s="123">
        <v>1</v>
      </c>
      <c r="G381" s="106">
        <v>68.900000000000006</v>
      </c>
      <c r="H381" s="106">
        <f t="shared" si="16"/>
        <v>5.8565000000000005</v>
      </c>
      <c r="I381" s="107">
        <f>Tabell6[[#This Row],[NOK]]*Tabell6[[#This Row],[QTY]]</f>
        <v>0</v>
      </c>
      <c r="J381" s="107">
        <f>Tabell6[[#This Row],[EURO]]*Tabell6[[#This Row],[QTY]]</f>
        <v>0</v>
      </c>
      <c r="K381" s="141">
        <v>5679485</v>
      </c>
    </row>
    <row r="382" spans="1:11" outlineLevel="1" x14ac:dyDescent="0.25">
      <c r="A382" s="132">
        <v>55</v>
      </c>
      <c r="B382" s="122">
        <v>7613036932110</v>
      </c>
      <c r="C382" s="129" t="s">
        <v>338</v>
      </c>
      <c r="D382" s="93"/>
      <c r="E382" s="105" t="s">
        <v>24</v>
      </c>
      <c r="F382" s="123">
        <v>1</v>
      </c>
      <c r="G382" s="106">
        <v>53.9</v>
      </c>
      <c r="H382" s="106">
        <f t="shared" si="16"/>
        <v>4.5815000000000001</v>
      </c>
      <c r="I382" s="107">
        <f>Tabell6[[#This Row],[NOK]]*Tabell6[[#This Row],[QTY]]</f>
        <v>0</v>
      </c>
      <c r="J382" s="107">
        <f>Tabell6[[#This Row],[EURO]]*Tabell6[[#This Row],[QTY]]</f>
        <v>0</v>
      </c>
      <c r="K382" s="146">
        <v>5416789</v>
      </c>
    </row>
    <row r="383" spans="1:11" outlineLevel="1" x14ac:dyDescent="0.25">
      <c r="A383" s="130">
        <v>56</v>
      </c>
      <c r="B383" s="122">
        <v>7322540934960</v>
      </c>
      <c r="C383" s="129" t="s">
        <v>339</v>
      </c>
      <c r="D383" s="93"/>
      <c r="E383" s="105" t="s">
        <v>24</v>
      </c>
      <c r="F383" s="123">
        <v>1</v>
      </c>
      <c r="G383" s="106">
        <v>699</v>
      </c>
      <c r="H383" s="106">
        <f t="shared" si="16"/>
        <v>59.415000000000006</v>
      </c>
      <c r="I383" s="107">
        <f>Tabell6[[#This Row],[NOK]]*Tabell6[[#This Row],[QTY]]</f>
        <v>0</v>
      </c>
      <c r="J383" s="107">
        <f>Tabell6[[#This Row],[EURO]]*Tabell6[[#This Row],[QTY]]</f>
        <v>0</v>
      </c>
      <c r="K383" s="141">
        <v>4334744</v>
      </c>
    </row>
    <row r="384" spans="1:11" outlineLevel="1" x14ac:dyDescent="0.25">
      <c r="A384" s="130">
        <v>57</v>
      </c>
      <c r="B384" s="122"/>
      <c r="C384" s="129" t="s">
        <v>340</v>
      </c>
      <c r="D384" s="93"/>
      <c r="E384" s="105" t="s">
        <v>24</v>
      </c>
      <c r="F384" s="123">
        <v>1</v>
      </c>
      <c r="G384" s="106">
        <v>119.9</v>
      </c>
      <c r="H384" s="106">
        <f t="shared" si="16"/>
        <v>10.191500000000001</v>
      </c>
      <c r="I384" s="107">
        <f>Tabell6[[#This Row],[NOK]]*Tabell6[[#This Row],[QTY]]</f>
        <v>0</v>
      </c>
      <c r="J384" s="107">
        <f>Tabell6[[#This Row],[EURO]]*Tabell6[[#This Row],[QTY]]</f>
        <v>0</v>
      </c>
      <c r="K384" s="141">
        <v>1104439</v>
      </c>
    </row>
    <row r="385" spans="1:11" outlineLevel="1" x14ac:dyDescent="0.25">
      <c r="A385" s="130">
        <v>58</v>
      </c>
      <c r="B385" s="122">
        <v>7052151922888</v>
      </c>
      <c r="C385" s="129" t="s">
        <v>341</v>
      </c>
      <c r="D385" s="93"/>
      <c r="E385" s="105" t="s">
        <v>24</v>
      </c>
      <c r="F385" s="123">
        <v>1</v>
      </c>
      <c r="G385" s="106">
        <v>119.9</v>
      </c>
      <c r="H385" s="106">
        <f t="shared" si="16"/>
        <v>10.191500000000001</v>
      </c>
      <c r="I385" s="107">
        <f>Tabell6[[#This Row],[NOK]]*Tabell6[[#This Row],[QTY]]</f>
        <v>0</v>
      </c>
      <c r="J385" s="107">
        <f>Tabell6[[#This Row],[EURO]]*Tabell6[[#This Row],[QTY]]</f>
        <v>0</v>
      </c>
      <c r="K385" s="141">
        <v>1104447</v>
      </c>
    </row>
    <row r="386" spans="1:11" outlineLevel="1" x14ac:dyDescent="0.25">
      <c r="A386" s="130">
        <v>59</v>
      </c>
      <c r="B386" s="122">
        <v>7052151922895</v>
      </c>
      <c r="C386" s="129" t="s">
        <v>342</v>
      </c>
      <c r="D386" s="93"/>
      <c r="E386" s="105" t="s">
        <v>24</v>
      </c>
      <c r="F386" s="123">
        <v>1</v>
      </c>
      <c r="G386" s="106">
        <v>119.9</v>
      </c>
      <c r="H386" s="106">
        <f t="shared" si="16"/>
        <v>10.191500000000001</v>
      </c>
      <c r="I386" s="107">
        <f>Tabell6[[#This Row],[NOK]]*Tabell6[[#This Row],[QTY]]</f>
        <v>0</v>
      </c>
      <c r="J386" s="107">
        <f>Tabell6[[#This Row],[EURO]]*Tabell6[[#This Row],[QTY]]</f>
        <v>0</v>
      </c>
      <c r="K386" s="141">
        <v>11060661</v>
      </c>
    </row>
    <row r="387" spans="1:11" hidden="1" outlineLevel="1" x14ac:dyDescent="0.25">
      <c r="A387" s="132">
        <v>60</v>
      </c>
      <c r="B387" s="122"/>
      <c r="C387" s="129" t="s">
        <v>343</v>
      </c>
      <c r="D387" s="93"/>
      <c r="E387" s="105" t="s">
        <v>24</v>
      </c>
      <c r="F387" s="123">
        <v>1</v>
      </c>
      <c r="G387" s="106">
        <v>119.9</v>
      </c>
      <c r="H387" s="106">
        <f t="shared" si="16"/>
        <v>10.191500000000001</v>
      </c>
      <c r="I387" s="107">
        <f>Tabell6[[#This Row],[NOK]]*Tabell6[[#This Row],[QTY]]</f>
        <v>0</v>
      </c>
      <c r="J387" s="107">
        <f>Tabell6[[#This Row],[EURO]]*Tabell6[[#This Row],[QTY]]</f>
        <v>0</v>
      </c>
      <c r="K387" s="146">
        <v>2036945</v>
      </c>
    </row>
    <row r="388" spans="1:11" hidden="1" outlineLevel="1" x14ac:dyDescent="0.25">
      <c r="A388" s="130">
        <v>61</v>
      </c>
      <c r="B388" s="122"/>
      <c r="C388" s="129" t="s">
        <v>61</v>
      </c>
      <c r="D388" s="93"/>
      <c r="E388" s="105"/>
      <c r="F388" s="123"/>
      <c r="G388" s="106"/>
      <c r="H388" s="106">
        <f t="shared" si="16"/>
        <v>0</v>
      </c>
      <c r="I388" s="107">
        <f>Tabell6[[#This Row],[NOK]]*Tabell6[[#This Row],[QTY]]</f>
        <v>0</v>
      </c>
      <c r="J388" s="107">
        <f>Tabell6[[#This Row],[EURO]]*Tabell6[[#This Row],[QTY]]</f>
        <v>0</v>
      </c>
      <c r="K388" s="141"/>
    </row>
    <row r="389" spans="1:11" hidden="1" outlineLevel="1" x14ac:dyDescent="0.25">
      <c r="A389" s="130">
        <v>62</v>
      </c>
      <c r="B389" s="122"/>
      <c r="C389" s="129" t="s">
        <v>61</v>
      </c>
      <c r="D389" s="93"/>
      <c r="E389" s="105"/>
      <c r="F389" s="123"/>
      <c r="G389" s="106"/>
      <c r="H389" s="106">
        <f t="shared" si="16"/>
        <v>0</v>
      </c>
      <c r="I389" s="107">
        <f>Tabell6[[#This Row],[NOK]]*Tabell6[[#This Row],[QTY]]</f>
        <v>0</v>
      </c>
      <c r="J389" s="107">
        <f>Tabell6[[#This Row],[EURO]]*Tabell6[[#This Row],[QTY]]</f>
        <v>0</v>
      </c>
      <c r="K389" s="141"/>
    </row>
    <row r="390" spans="1:11" hidden="1" outlineLevel="1" x14ac:dyDescent="0.25">
      <c r="A390" s="130">
        <v>63</v>
      </c>
      <c r="B390" s="122"/>
      <c r="C390" s="129" t="s">
        <v>61</v>
      </c>
      <c r="D390" s="93"/>
      <c r="E390" s="105"/>
      <c r="F390" s="123"/>
      <c r="G390" s="106"/>
      <c r="H390" s="106">
        <f t="shared" si="16"/>
        <v>0</v>
      </c>
      <c r="I390" s="107">
        <f>Tabell6[[#This Row],[NOK]]*Tabell6[[#This Row],[QTY]]</f>
        <v>0</v>
      </c>
      <c r="J390" s="107">
        <f>Tabell6[[#This Row],[EURO]]*Tabell6[[#This Row],[QTY]]</f>
        <v>0</v>
      </c>
      <c r="K390" s="141"/>
    </row>
    <row r="391" spans="1:11" hidden="1" outlineLevel="1" x14ac:dyDescent="0.25">
      <c r="A391" s="130">
        <v>64</v>
      </c>
      <c r="B391" s="122"/>
      <c r="C391" s="129" t="s">
        <v>61</v>
      </c>
      <c r="D391" s="93"/>
      <c r="E391" s="105"/>
      <c r="F391" s="123"/>
      <c r="G391" s="106"/>
      <c r="H391" s="106">
        <f t="shared" si="16"/>
        <v>0</v>
      </c>
      <c r="I391" s="107">
        <f>Tabell6[[#This Row],[NOK]]*Tabell6[[#This Row],[QTY]]</f>
        <v>0</v>
      </c>
      <c r="J391" s="107">
        <f>Tabell6[[#This Row],[EURO]]*Tabell6[[#This Row],[QTY]]</f>
        <v>0</v>
      </c>
      <c r="K391" s="141"/>
    </row>
    <row r="392" spans="1:11" hidden="1" x14ac:dyDescent="0.25">
      <c r="A392" s="132">
        <v>65</v>
      </c>
      <c r="B392" s="122"/>
      <c r="C392" s="129" t="s">
        <v>61</v>
      </c>
      <c r="D392" s="93"/>
      <c r="E392" s="105"/>
      <c r="F392" s="123"/>
      <c r="G392" s="106"/>
      <c r="H392" s="106">
        <f t="shared" si="16"/>
        <v>0</v>
      </c>
      <c r="I392" s="107">
        <f>Tabell6[[#This Row],[NOK]]*Tabell6[[#This Row],[QTY]]</f>
        <v>0</v>
      </c>
      <c r="J392" s="107">
        <f>Tabell6[[#This Row],[EURO]]*Tabell6[[#This Row],[QTY]]</f>
        <v>0</v>
      </c>
      <c r="K392" s="146"/>
    </row>
    <row r="393" spans="1:11" x14ac:dyDescent="0.25">
      <c r="C393" s="83"/>
      <c r="D393" s="83"/>
      <c r="E393" s="86"/>
      <c r="F393" s="86"/>
      <c r="G393" s="86"/>
      <c r="H393" s="86"/>
    </row>
    <row r="394" spans="1:11" x14ac:dyDescent="0.25">
      <c r="C394" s="83"/>
      <c r="D394" s="83"/>
      <c r="E394" s="86"/>
      <c r="F394" s="86"/>
      <c r="G394" s="86"/>
      <c r="H394" s="86"/>
      <c r="I394" s="188">
        <f>SUM(I328:I393)</f>
        <v>0</v>
      </c>
      <c r="J394" s="188">
        <f>SUM(J328:J393)</f>
        <v>0</v>
      </c>
    </row>
    <row r="395" spans="1:11" ht="18.75" x14ac:dyDescent="0.3">
      <c r="A395" s="194" t="s">
        <v>344</v>
      </c>
      <c r="B395" s="194"/>
      <c r="C395" s="194"/>
      <c r="D395" s="194"/>
      <c r="E395" s="194"/>
      <c r="F395" s="194"/>
      <c r="G395" s="194"/>
      <c r="H395" s="194"/>
      <c r="I395" s="194"/>
      <c r="J395" s="194"/>
    </row>
    <row r="396" spans="1:11" outlineLevel="1" x14ac:dyDescent="0.25">
      <c r="A396" s="92" t="s">
        <v>6</v>
      </c>
      <c r="B396" s="92" t="s">
        <v>7</v>
      </c>
      <c r="C396" s="92" t="s">
        <v>8</v>
      </c>
      <c r="D396" s="92" t="s">
        <v>16</v>
      </c>
      <c r="E396" s="140" t="s">
        <v>10</v>
      </c>
      <c r="F396" s="140" t="s">
        <v>17</v>
      </c>
      <c r="G396" s="140" t="s">
        <v>18</v>
      </c>
      <c r="H396" s="140" t="s">
        <v>19</v>
      </c>
      <c r="I396" s="140" t="s">
        <v>20</v>
      </c>
      <c r="J396" s="140" t="s">
        <v>21</v>
      </c>
      <c r="K396" s="144" t="s">
        <v>345</v>
      </c>
    </row>
    <row r="397" spans="1:11" outlineLevel="1" x14ac:dyDescent="0.25">
      <c r="A397" s="130">
        <v>1</v>
      </c>
      <c r="B397" s="131"/>
      <c r="C397" s="121" t="s">
        <v>346</v>
      </c>
      <c r="D397" s="93"/>
      <c r="E397" s="108" t="s">
        <v>24</v>
      </c>
      <c r="F397" s="123">
        <v>1</v>
      </c>
      <c r="G397" s="106">
        <v>999</v>
      </c>
      <c r="H397" s="106">
        <f t="shared" ref="H397:H412" si="17">G397*$N$1</f>
        <v>84.915000000000006</v>
      </c>
      <c r="I397" s="107">
        <f>Tabell7[[#This Row],[NOK]]*Tabell7[[#This Row],[QTY]]</f>
        <v>0</v>
      </c>
      <c r="J397" s="107">
        <f>Tabell7[[#This Row],[EURO]]*Tabell7[[#This Row],[QTY]]</f>
        <v>0</v>
      </c>
      <c r="K397" s="141">
        <v>91120401</v>
      </c>
    </row>
    <row r="398" spans="1:11" outlineLevel="1" x14ac:dyDescent="0.25">
      <c r="A398" s="118">
        <v>2</v>
      </c>
      <c r="B398" s="122"/>
      <c r="C398" s="121" t="s">
        <v>347</v>
      </c>
      <c r="D398" s="93"/>
      <c r="E398" s="108" t="s">
        <v>24</v>
      </c>
      <c r="F398" s="123">
        <v>1</v>
      </c>
      <c r="G398" s="106">
        <v>749</v>
      </c>
      <c r="H398" s="106">
        <f t="shared" si="17"/>
        <v>63.665000000000006</v>
      </c>
      <c r="I398" s="107">
        <f>Tabell7[[#This Row],[NOK]]*Tabell7[[#This Row],[QTY]]</f>
        <v>0</v>
      </c>
      <c r="J398" s="107">
        <f>Tabell7[[#This Row],[EURO]]*Tabell7[[#This Row],[QTY]]</f>
        <v>0</v>
      </c>
      <c r="K398" s="141">
        <v>91111059</v>
      </c>
    </row>
    <row r="399" spans="1:11" outlineLevel="1" x14ac:dyDescent="0.25">
      <c r="A399" s="130">
        <v>3</v>
      </c>
      <c r="B399" s="122"/>
      <c r="C399" s="121" t="s">
        <v>348</v>
      </c>
      <c r="D399" s="93"/>
      <c r="E399" s="108" t="s">
        <v>24</v>
      </c>
      <c r="F399" s="123">
        <v>1</v>
      </c>
      <c r="G399" s="106">
        <v>349</v>
      </c>
      <c r="H399" s="106">
        <f t="shared" si="17"/>
        <v>29.665000000000003</v>
      </c>
      <c r="I399" s="107">
        <f>Tabell7[[#This Row],[NOK]]*Tabell7[[#This Row],[QTY]]</f>
        <v>0</v>
      </c>
      <c r="J399" s="107">
        <f>Tabell7[[#This Row],[EURO]]*Tabell7[[#This Row],[QTY]]</f>
        <v>0</v>
      </c>
      <c r="K399" s="141">
        <v>91124022</v>
      </c>
    </row>
    <row r="400" spans="1:11" outlineLevel="1" x14ac:dyDescent="0.25">
      <c r="A400" s="118">
        <v>4</v>
      </c>
      <c r="B400" s="122"/>
      <c r="C400" s="121" t="s">
        <v>349</v>
      </c>
      <c r="D400" s="93"/>
      <c r="E400" s="108" t="s">
        <v>24</v>
      </c>
      <c r="F400" s="123">
        <v>1</v>
      </c>
      <c r="G400" s="106">
        <v>349</v>
      </c>
      <c r="H400" s="106">
        <f t="shared" si="17"/>
        <v>29.665000000000003</v>
      </c>
      <c r="I400" s="107">
        <f>Tabell7[[#This Row],[NOK]]*Tabell7[[#This Row],[QTY]]</f>
        <v>0</v>
      </c>
      <c r="J400" s="107">
        <f>Tabell7[[#This Row],[EURO]]*Tabell7[[#This Row],[QTY]]</f>
        <v>0</v>
      </c>
      <c r="K400" s="141"/>
    </row>
    <row r="401" spans="1:11" outlineLevel="1" x14ac:dyDescent="0.25">
      <c r="A401" s="130">
        <v>5</v>
      </c>
      <c r="B401" s="122"/>
      <c r="C401" s="121" t="s">
        <v>350</v>
      </c>
      <c r="D401" s="93"/>
      <c r="E401" s="108" t="s">
        <v>24</v>
      </c>
      <c r="F401" s="123">
        <v>1</v>
      </c>
      <c r="G401" s="106">
        <v>349</v>
      </c>
      <c r="H401" s="106">
        <f t="shared" si="17"/>
        <v>29.665000000000003</v>
      </c>
      <c r="I401" s="107">
        <f>Tabell7[[#This Row],[NOK]]*Tabell7[[#This Row],[QTY]]</f>
        <v>0</v>
      </c>
      <c r="J401" s="107">
        <f>Tabell7[[#This Row],[EURO]]*Tabell7[[#This Row],[QTY]]</f>
        <v>0</v>
      </c>
      <c r="K401" s="141">
        <v>91124052</v>
      </c>
    </row>
    <row r="402" spans="1:11" outlineLevel="1" x14ac:dyDescent="0.25">
      <c r="A402" s="118">
        <v>6</v>
      </c>
      <c r="B402" s="122"/>
      <c r="C402" s="121" t="s">
        <v>351</v>
      </c>
      <c r="D402" s="93"/>
      <c r="E402" s="108" t="s">
        <v>24</v>
      </c>
      <c r="F402" s="123">
        <v>1</v>
      </c>
      <c r="G402" s="106">
        <v>349</v>
      </c>
      <c r="H402" s="106">
        <f t="shared" si="17"/>
        <v>29.665000000000003</v>
      </c>
      <c r="I402" s="107">
        <f>Tabell7[[#This Row],[NOK]]*Tabell7[[#This Row],[QTY]]</f>
        <v>0</v>
      </c>
      <c r="J402" s="107">
        <f>Tabell7[[#This Row],[EURO]]*Tabell7[[#This Row],[QTY]]</f>
        <v>0</v>
      </c>
      <c r="K402" s="141">
        <v>91124006</v>
      </c>
    </row>
    <row r="403" spans="1:11" outlineLevel="1" x14ac:dyDescent="0.25">
      <c r="A403" s="130">
        <v>7</v>
      </c>
      <c r="B403" s="122"/>
      <c r="C403" s="121" t="s">
        <v>352</v>
      </c>
      <c r="D403" s="93"/>
      <c r="E403" s="108" t="s">
        <v>24</v>
      </c>
      <c r="F403" s="123">
        <v>1</v>
      </c>
      <c r="G403" s="106">
        <v>699</v>
      </c>
      <c r="H403" s="106">
        <f t="shared" si="17"/>
        <v>59.415000000000006</v>
      </c>
      <c r="I403" s="107">
        <f>Tabell7[[#This Row],[NOK]]*Tabell7[[#This Row],[QTY]]</f>
        <v>0</v>
      </c>
      <c r="J403" s="107">
        <f>Tabell7[[#This Row],[EURO]]*Tabell7[[#This Row],[QTY]]</f>
        <v>0</v>
      </c>
      <c r="K403" s="141"/>
    </row>
    <row r="404" spans="1:11" outlineLevel="1" x14ac:dyDescent="0.25">
      <c r="A404" s="118">
        <v>8</v>
      </c>
      <c r="B404" s="122"/>
      <c r="C404" s="121" t="s">
        <v>353</v>
      </c>
      <c r="D404" s="93"/>
      <c r="E404" s="108" t="s">
        <v>24</v>
      </c>
      <c r="F404" s="123">
        <v>1</v>
      </c>
      <c r="G404" s="106">
        <v>699</v>
      </c>
      <c r="H404" s="106">
        <f t="shared" si="17"/>
        <v>59.415000000000006</v>
      </c>
      <c r="I404" s="107">
        <f>Tabell7[[#This Row],[NOK]]*Tabell7[[#This Row],[QTY]]</f>
        <v>0</v>
      </c>
      <c r="J404" s="107">
        <f>Tabell7[[#This Row],[EURO]]*Tabell7[[#This Row],[QTY]]</f>
        <v>0</v>
      </c>
      <c r="K404" s="141"/>
    </row>
    <row r="405" spans="1:11" outlineLevel="1" x14ac:dyDescent="0.25">
      <c r="A405" s="130">
        <v>9</v>
      </c>
      <c r="B405" s="122"/>
      <c r="C405" s="121" t="s">
        <v>354</v>
      </c>
      <c r="D405" s="93"/>
      <c r="E405" s="108" t="s">
        <v>24</v>
      </c>
      <c r="F405" s="123">
        <v>1</v>
      </c>
      <c r="G405" s="106">
        <v>449</v>
      </c>
      <c r="H405" s="106">
        <f t="shared" si="17"/>
        <v>38.165000000000006</v>
      </c>
      <c r="I405" s="107">
        <f>Tabell7[[#This Row],[NOK]]*Tabell7[[#This Row],[QTY]]</f>
        <v>0</v>
      </c>
      <c r="J405" s="107">
        <f>Tabell7[[#This Row],[EURO]]*Tabell7[[#This Row],[QTY]]</f>
        <v>0</v>
      </c>
      <c r="K405" s="141">
        <v>91124056</v>
      </c>
    </row>
    <row r="406" spans="1:11" outlineLevel="1" x14ac:dyDescent="0.25">
      <c r="A406" s="118">
        <v>10</v>
      </c>
      <c r="B406" s="122"/>
      <c r="C406" s="121" t="s">
        <v>355</v>
      </c>
      <c r="D406" s="93"/>
      <c r="E406" s="108" t="s">
        <v>24</v>
      </c>
      <c r="F406" s="123">
        <v>1</v>
      </c>
      <c r="G406" s="106">
        <v>499</v>
      </c>
      <c r="H406" s="106">
        <f t="shared" si="17"/>
        <v>42.415000000000006</v>
      </c>
      <c r="I406" s="107">
        <f>Tabell7[[#This Row],[NOK]]*Tabell7[[#This Row],[QTY]]</f>
        <v>0</v>
      </c>
      <c r="J406" s="107">
        <f>Tabell7[[#This Row],[EURO]]*Tabell7[[#This Row],[QTY]]</f>
        <v>0</v>
      </c>
      <c r="K406" s="141">
        <v>91124009</v>
      </c>
    </row>
    <row r="407" spans="1:11" outlineLevel="1" x14ac:dyDescent="0.25">
      <c r="A407" s="130">
        <v>11</v>
      </c>
      <c r="B407" s="122"/>
      <c r="C407" s="121" t="s">
        <v>356</v>
      </c>
      <c r="D407" s="93"/>
      <c r="E407" s="108" t="s">
        <v>24</v>
      </c>
      <c r="F407" s="123">
        <v>1</v>
      </c>
      <c r="G407" s="106">
        <v>199</v>
      </c>
      <c r="H407" s="106">
        <f t="shared" si="17"/>
        <v>16.915000000000003</v>
      </c>
      <c r="I407" s="107">
        <f>Tabell7[[#This Row],[NOK]]*Tabell7[[#This Row],[QTY]]</f>
        <v>0</v>
      </c>
      <c r="J407" s="107">
        <f>Tabell7[[#This Row],[EURO]]*Tabell7[[#This Row],[QTY]]</f>
        <v>0</v>
      </c>
      <c r="K407" s="141">
        <v>91124008</v>
      </c>
    </row>
    <row r="408" spans="1:11" outlineLevel="1" x14ac:dyDescent="0.25">
      <c r="A408" s="118">
        <v>12</v>
      </c>
      <c r="B408" s="122"/>
      <c r="C408" s="121" t="s">
        <v>357</v>
      </c>
      <c r="D408" s="93"/>
      <c r="E408" s="108" t="s">
        <v>24</v>
      </c>
      <c r="F408" s="123">
        <v>1</v>
      </c>
      <c r="G408" s="106">
        <v>299</v>
      </c>
      <c r="H408" s="106">
        <f t="shared" si="17"/>
        <v>25.415000000000003</v>
      </c>
      <c r="I408" s="107">
        <f>Tabell7[[#This Row],[NOK]]*Tabell7[[#This Row],[QTY]]</f>
        <v>0</v>
      </c>
      <c r="J408" s="107">
        <f>Tabell7[[#This Row],[EURO]]*Tabell7[[#This Row],[QTY]]</f>
        <v>0</v>
      </c>
      <c r="K408" s="141">
        <v>91124011</v>
      </c>
    </row>
    <row r="409" spans="1:11" outlineLevel="1" x14ac:dyDescent="0.25">
      <c r="A409" s="130">
        <v>13</v>
      </c>
      <c r="B409" s="122"/>
      <c r="C409" s="121" t="s">
        <v>358</v>
      </c>
      <c r="D409" s="93"/>
      <c r="E409" s="108" t="s">
        <v>24</v>
      </c>
      <c r="F409" s="123">
        <v>1</v>
      </c>
      <c r="G409" s="106">
        <v>299</v>
      </c>
      <c r="H409" s="106">
        <f t="shared" si="17"/>
        <v>25.415000000000003</v>
      </c>
      <c r="I409" s="107">
        <f>Tabell7[[#This Row],[NOK]]*Tabell7[[#This Row],[QTY]]</f>
        <v>0</v>
      </c>
      <c r="J409" s="107">
        <f>Tabell7[[#This Row],[EURO]]*Tabell7[[#This Row],[QTY]]</f>
        <v>0</v>
      </c>
      <c r="K409" s="141">
        <v>91124001</v>
      </c>
    </row>
    <row r="410" spans="1:11" outlineLevel="1" x14ac:dyDescent="0.25">
      <c r="A410" s="118">
        <v>14</v>
      </c>
      <c r="B410" s="122"/>
      <c r="C410" s="121" t="s">
        <v>359</v>
      </c>
      <c r="D410" s="93"/>
      <c r="E410" s="108" t="s">
        <v>24</v>
      </c>
      <c r="F410" s="123">
        <v>1</v>
      </c>
      <c r="G410" s="106">
        <v>199</v>
      </c>
      <c r="H410" s="106">
        <f t="shared" si="17"/>
        <v>16.915000000000003</v>
      </c>
      <c r="I410" s="107">
        <f>Tabell7[[#This Row],[NOK]]*Tabell7[[#This Row],[QTY]]</f>
        <v>0</v>
      </c>
      <c r="J410" s="107">
        <f>Tabell7[[#This Row],[EURO]]*Tabell7[[#This Row],[QTY]]</f>
        <v>0</v>
      </c>
      <c r="K410" s="141">
        <v>91124021</v>
      </c>
    </row>
    <row r="411" spans="1:11" outlineLevel="1" x14ac:dyDescent="0.25">
      <c r="A411" s="118">
        <v>15</v>
      </c>
      <c r="B411" s="122"/>
      <c r="C411" s="121" t="s">
        <v>360</v>
      </c>
      <c r="D411" s="93"/>
      <c r="E411" s="105" t="s">
        <v>24</v>
      </c>
      <c r="F411" s="123">
        <v>1</v>
      </c>
      <c r="G411" s="106">
        <v>299</v>
      </c>
      <c r="H411" s="106">
        <f t="shared" si="17"/>
        <v>25.415000000000003</v>
      </c>
      <c r="I411" s="107">
        <f>Tabell7[[#This Row],[NOK]]*Tabell7[[#This Row],[QTY]]</f>
        <v>0</v>
      </c>
      <c r="J411" s="107">
        <f>Tabell7[[#This Row],[EURO]]*Tabell7[[#This Row],[QTY]]</f>
        <v>0</v>
      </c>
      <c r="K411" s="141">
        <v>91124040</v>
      </c>
    </row>
    <row r="412" spans="1:11" outlineLevel="1" x14ac:dyDescent="0.25">
      <c r="A412" s="118">
        <v>16</v>
      </c>
      <c r="B412" s="122"/>
      <c r="C412" s="121" t="s">
        <v>361</v>
      </c>
      <c r="D412" s="93"/>
      <c r="E412" s="105" t="s">
        <v>24</v>
      </c>
      <c r="F412" s="123">
        <v>1</v>
      </c>
      <c r="G412" s="106">
        <v>499</v>
      </c>
      <c r="H412" s="106">
        <f t="shared" si="17"/>
        <v>42.415000000000006</v>
      </c>
      <c r="I412" s="107">
        <f>Tabell7[[#This Row],[NOK]]*Tabell7[[#This Row],[QTY]]</f>
        <v>0</v>
      </c>
      <c r="J412" s="107">
        <f>Tabell7[[#This Row],[EURO]]*Tabell7[[#This Row],[QTY]]</f>
        <v>0</v>
      </c>
      <c r="K412" s="141">
        <v>91124046</v>
      </c>
    </row>
    <row r="413" spans="1:11" hidden="1" outlineLevel="1" x14ac:dyDescent="0.25">
      <c r="A413" s="118">
        <v>17</v>
      </c>
      <c r="B413" s="122">
        <v>8711327456181</v>
      </c>
      <c r="C413" s="121" t="s">
        <v>362</v>
      </c>
      <c r="D413" s="93"/>
      <c r="E413" s="105" t="s">
        <v>24</v>
      </c>
      <c r="F413" s="123">
        <v>1</v>
      </c>
      <c r="G413" s="106">
        <v>295</v>
      </c>
      <c r="H413" s="106">
        <f t="shared" ref="H413" si="18">G413*$N$1</f>
        <v>25.075000000000003</v>
      </c>
      <c r="I413" s="107">
        <f>Tabell7[[#This Row],[NOK]]*Tabell7[[#This Row],[QTY]]</f>
        <v>0</v>
      </c>
      <c r="J413" s="107">
        <f>Tabell7[[#This Row],[EURO]]*Tabell7[[#This Row],[QTY]]</f>
        <v>0</v>
      </c>
      <c r="K413" s="141">
        <v>5692983</v>
      </c>
    </row>
    <row r="414" spans="1:11" hidden="1" outlineLevel="1" x14ac:dyDescent="0.25">
      <c r="A414" s="130">
        <v>18</v>
      </c>
      <c r="B414" s="122"/>
      <c r="C414" s="129" t="s">
        <v>61</v>
      </c>
      <c r="D414" s="93"/>
      <c r="E414" s="105"/>
      <c r="F414" s="123"/>
      <c r="G414" s="106"/>
      <c r="H414" s="106">
        <f>G414*$N$1</f>
        <v>0</v>
      </c>
      <c r="I414" s="107">
        <f>Tabell7[[#This Row],[NOK]]*Tabell7[[#This Row],[QTY]]</f>
        <v>0</v>
      </c>
      <c r="J414" s="107">
        <f>Tabell7[[#This Row],[EURO]]*Tabell7[[#This Row],[QTY]]</f>
        <v>0</v>
      </c>
      <c r="K414" s="141"/>
    </row>
    <row r="415" spans="1:11" hidden="1" outlineLevel="1" x14ac:dyDescent="0.25">
      <c r="A415" s="130">
        <v>19</v>
      </c>
      <c r="B415" s="122"/>
      <c r="C415" s="129" t="s">
        <v>61</v>
      </c>
      <c r="D415" s="93"/>
      <c r="E415" s="105"/>
      <c r="F415" s="123"/>
      <c r="G415" s="106"/>
      <c r="H415" s="106">
        <f>G415*$N$1</f>
        <v>0</v>
      </c>
      <c r="I415" s="107">
        <f>Tabell7[[#This Row],[NOK]]*Tabell7[[#This Row],[QTY]]</f>
        <v>0</v>
      </c>
      <c r="J415" s="107">
        <f>Tabell7[[#This Row],[EURO]]*Tabell7[[#This Row],[QTY]]</f>
        <v>0</v>
      </c>
      <c r="K415" s="141"/>
    </row>
    <row r="416" spans="1:11" hidden="1" outlineLevel="1" x14ac:dyDescent="0.25">
      <c r="A416" s="130">
        <v>20</v>
      </c>
      <c r="B416" s="122"/>
      <c r="C416" s="129" t="s">
        <v>61</v>
      </c>
      <c r="D416" s="93"/>
      <c r="E416" s="105"/>
      <c r="F416" s="123"/>
      <c r="G416" s="106"/>
      <c r="H416" s="106">
        <f>G416*$N$1</f>
        <v>0</v>
      </c>
      <c r="I416" s="107">
        <f>Tabell7[[#This Row],[NOK]]*Tabell7[[#This Row],[QTY]]</f>
        <v>0</v>
      </c>
      <c r="J416" s="107">
        <f>Tabell7[[#This Row],[EURO]]*Tabell7[[#This Row],[QTY]]</f>
        <v>0</v>
      </c>
      <c r="K416" s="141"/>
    </row>
    <row r="417" spans="1:11" hidden="1" outlineLevel="1" x14ac:dyDescent="0.25">
      <c r="A417" s="130">
        <v>21</v>
      </c>
      <c r="B417" s="122"/>
      <c r="C417" s="129" t="s">
        <v>61</v>
      </c>
      <c r="D417" s="93"/>
      <c r="E417" s="105"/>
      <c r="F417" s="123"/>
      <c r="G417" s="106"/>
      <c r="H417" s="106">
        <f>G417*$N$1</f>
        <v>0</v>
      </c>
      <c r="I417" s="107">
        <f>Tabell7[[#This Row],[NOK]]*Tabell7[[#This Row],[QTY]]</f>
        <v>0</v>
      </c>
      <c r="J417" s="107">
        <f>Tabell7[[#This Row],[EURO]]*Tabell7[[#This Row],[QTY]]</f>
        <v>0</v>
      </c>
      <c r="K417" s="141"/>
    </row>
    <row r="418" spans="1:11" hidden="1" x14ac:dyDescent="0.25">
      <c r="A418" s="118">
        <v>22</v>
      </c>
      <c r="B418" s="122"/>
      <c r="C418" s="129" t="s">
        <v>61</v>
      </c>
      <c r="D418" s="93"/>
      <c r="E418" s="105"/>
      <c r="F418" s="123"/>
      <c r="G418" s="106"/>
      <c r="H418" s="106">
        <f>G418*$N$1</f>
        <v>0</v>
      </c>
      <c r="I418" s="107">
        <f>Tabell7[[#This Row],[NOK]]*Tabell7[[#This Row],[QTY]]</f>
        <v>0</v>
      </c>
      <c r="J418" s="107">
        <f>Tabell7[[#This Row],[EURO]]*Tabell7[[#This Row],[QTY]]</f>
        <v>0</v>
      </c>
      <c r="K418" s="141"/>
    </row>
    <row r="419" spans="1:11" x14ac:dyDescent="0.25">
      <c r="G419" s="86"/>
      <c r="H419" s="86"/>
    </row>
    <row r="420" spans="1:11" x14ac:dyDescent="0.25">
      <c r="G420" s="86"/>
      <c r="H420" s="86"/>
      <c r="I420" s="188">
        <f>SUM(I397:I419)</f>
        <v>0</v>
      </c>
      <c r="J420" s="188">
        <f>SUM(J397:J419)</f>
        <v>0</v>
      </c>
    </row>
    <row r="421" spans="1:11" ht="18.75" x14ac:dyDescent="0.3">
      <c r="A421" s="194" t="s">
        <v>363</v>
      </c>
      <c r="B421" s="194"/>
      <c r="C421" s="194"/>
      <c r="D421" s="194"/>
      <c r="E421" s="194"/>
      <c r="F421" s="194"/>
      <c r="G421" s="194"/>
      <c r="H421" s="194"/>
      <c r="I421" s="194"/>
      <c r="J421" s="194"/>
    </row>
    <row r="422" spans="1:11" outlineLevel="1" x14ac:dyDescent="0.25">
      <c r="A422" s="92" t="s">
        <v>6</v>
      </c>
      <c r="B422" s="92" t="s">
        <v>364</v>
      </c>
      <c r="C422" s="92" t="s">
        <v>8</v>
      </c>
      <c r="D422" s="92" t="s">
        <v>16</v>
      </c>
      <c r="E422" s="140" t="s">
        <v>10</v>
      </c>
      <c r="F422" s="140" t="s">
        <v>17</v>
      </c>
      <c r="G422" s="140" t="s">
        <v>18</v>
      </c>
      <c r="H422" s="140" t="s">
        <v>19</v>
      </c>
      <c r="I422" s="140" t="s">
        <v>20</v>
      </c>
      <c r="J422" s="140" t="s">
        <v>21</v>
      </c>
      <c r="K422" s="144" t="s">
        <v>22</v>
      </c>
    </row>
    <row r="423" spans="1:11" outlineLevel="1" x14ac:dyDescent="0.25">
      <c r="A423" s="130">
        <v>1</v>
      </c>
      <c r="B423" s="131">
        <v>7025150012102</v>
      </c>
      <c r="C423" s="121" t="s">
        <v>365</v>
      </c>
      <c r="D423" s="93"/>
      <c r="E423" s="108" t="s">
        <v>24</v>
      </c>
      <c r="F423" s="123">
        <v>8</v>
      </c>
      <c r="G423" s="106">
        <v>22.9</v>
      </c>
      <c r="H423" s="106">
        <f t="shared" ref="H423:H449" si="19">G423*$N$1</f>
        <v>1.9465000000000001</v>
      </c>
      <c r="I423" s="107">
        <f>Tabell8[[#This Row],[NOK]]*Tabell8[[#This Row],[QTY]]</f>
        <v>0</v>
      </c>
      <c r="J423" s="107">
        <f>Tabell8[[#This Row],[EURO]]*Tabell8[[#This Row],[QTY]]</f>
        <v>0</v>
      </c>
      <c r="K423" s="141">
        <v>10057</v>
      </c>
    </row>
    <row r="424" spans="1:11" outlineLevel="1" x14ac:dyDescent="0.25">
      <c r="A424" s="118">
        <v>2</v>
      </c>
      <c r="B424" s="122">
        <v>7025150014106</v>
      </c>
      <c r="C424" s="121" t="s">
        <v>366</v>
      </c>
      <c r="D424" s="93"/>
      <c r="E424" s="108" t="s">
        <v>24</v>
      </c>
      <c r="F424" s="123">
        <v>8</v>
      </c>
      <c r="G424" s="106">
        <v>22.9</v>
      </c>
      <c r="H424" s="106">
        <f t="shared" si="19"/>
        <v>1.9465000000000001</v>
      </c>
      <c r="I424" s="107">
        <f>Tabell8[[#This Row],[NOK]]*Tabell8[[#This Row],[QTY]]</f>
        <v>0</v>
      </c>
      <c r="J424" s="107">
        <f>Tabell8[[#This Row],[EURO]]*Tabell8[[#This Row],[QTY]]</f>
        <v>0</v>
      </c>
      <c r="K424" s="141">
        <v>10058</v>
      </c>
    </row>
    <row r="425" spans="1:11" outlineLevel="1" x14ac:dyDescent="0.25">
      <c r="A425" s="118">
        <v>3</v>
      </c>
      <c r="B425" s="122">
        <v>7025150014908</v>
      </c>
      <c r="C425" s="129" t="s">
        <v>367</v>
      </c>
      <c r="D425" s="93"/>
      <c r="E425" s="105" t="s">
        <v>24</v>
      </c>
      <c r="F425" s="123">
        <v>8</v>
      </c>
      <c r="G425" s="106">
        <v>22.9</v>
      </c>
      <c r="H425" s="106">
        <f>G425*$N$1</f>
        <v>1.9465000000000001</v>
      </c>
      <c r="I425" s="107">
        <f>Tabell8[[#This Row],[NOK]]*Tabell8[[#This Row],[QTY]]</f>
        <v>0</v>
      </c>
      <c r="J425" s="107">
        <f>Tabell8[[#This Row],[EURO]]*Tabell8[[#This Row],[QTY]]</f>
        <v>0</v>
      </c>
      <c r="K425" s="141">
        <v>3221975</v>
      </c>
    </row>
    <row r="426" spans="1:11" outlineLevel="1" x14ac:dyDescent="0.25">
      <c r="A426" s="118">
        <v>4</v>
      </c>
      <c r="B426" s="122">
        <v>5705001405612</v>
      </c>
      <c r="C426" s="129" t="s">
        <v>368</v>
      </c>
      <c r="D426" s="93"/>
      <c r="E426" s="105" t="s">
        <v>24</v>
      </c>
      <c r="F426" s="123">
        <v>12</v>
      </c>
      <c r="G426" s="106">
        <v>46.9</v>
      </c>
      <c r="H426" s="106">
        <f>G426*$N$1</f>
        <v>3.9865000000000004</v>
      </c>
      <c r="I426" s="107">
        <f>Tabell8[[#This Row],[NOK]]*Tabell8[[#This Row],[QTY]]</f>
        <v>0</v>
      </c>
      <c r="J426" s="107">
        <f>Tabell8[[#This Row],[EURO]]*Tabell8[[#This Row],[QTY]]</f>
        <v>0</v>
      </c>
      <c r="K426" s="141">
        <v>5131701</v>
      </c>
    </row>
    <row r="427" spans="1:11" outlineLevel="1" x14ac:dyDescent="0.25">
      <c r="A427" s="118">
        <v>5</v>
      </c>
      <c r="B427" s="122">
        <v>5705001405100</v>
      </c>
      <c r="C427" s="129" t="s">
        <v>369</v>
      </c>
      <c r="D427" s="93"/>
      <c r="E427" s="105" t="s">
        <v>24</v>
      </c>
      <c r="F427" s="123">
        <v>12</v>
      </c>
      <c r="G427" s="106">
        <v>24.9</v>
      </c>
      <c r="H427" s="106">
        <f>G427*$N$1</f>
        <v>2.1164999999999998</v>
      </c>
      <c r="I427" s="107">
        <f>Tabell8[[#This Row],[NOK]]*Tabell8[[#This Row],[QTY]]</f>
        <v>0</v>
      </c>
      <c r="J427" s="107">
        <f>Tabell8[[#This Row],[EURO]]*Tabell8[[#This Row],[QTY]]</f>
        <v>0</v>
      </c>
      <c r="K427" s="141">
        <v>1366160</v>
      </c>
    </row>
    <row r="428" spans="1:11" outlineLevel="1" x14ac:dyDescent="0.25">
      <c r="A428" s="118">
        <v>6</v>
      </c>
      <c r="B428" s="122">
        <v>7025110077691</v>
      </c>
      <c r="C428" s="129" t="s">
        <v>370</v>
      </c>
      <c r="D428" s="93"/>
      <c r="E428" s="105" t="s">
        <v>24</v>
      </c>
      <c r="F428" s="123">
        <v>12</v>
      </c>
      <c r="G428" s="106">
        <v>38.9</v>
      </c>
      <c r="H428" s="106">
        <f>G428*$N$1</f>
        <v>3.3065000000000002</v>
      </c>
      <c r="I428" s="107">
        <f>Tabell8[[#This Row],[NOK]]*Tabell8[[#This Row],[QTY]]</f>
        <v>0</v>
      </c>
      <c r="J428" s="107">
        <f>Tabell8[[#This Row],[EURO]]*Tabell8[[#This Row],[QTY]]</f>
        <v>0</v>
      </c>
      <c r="K428" s="141">
        <v>2211084</v>
      </c>
    </row>
    <row r="429" spans="1:11" outlineLevel="1" x14ac:dyDescent="0.25">
      <c r="A429" s="130">
        <v>7</v>
      </c>
      <c r="B429" s="122">
        <v>5410233763187</v>
      </c>
      <c r="C429" s="129" t="s">
        <v>371</v>
      </c>
      <c r="D429" s="93"/>
      <c r="E429" s="108" t="s">
        <v>24</v>
      </c>
      <c r="F429" s="123">
        <v>1</v>
      </c>
      <c r="G429" s="106">
        <v>949</v>
      </c>
      <c r="H429" s="106">
        <f t="shared" si="19"/>
        <v>80.665000000000006</v>
      </c>
      <c r="I429" s="107">
        <f>Tabell8[[#This Row],[NOK]]*Tabell8[[#This Row],[QTY]]</f>
        <v>0</v>
      </c>
      <c r="J429" s="107">
        <f>Tabell8[[#This Row],[EURO]]*Tabell8[[#This Row],[QTY]]</f>
        <v>0</v>
      </c>
      <c r="K429" s="141">
        <v>5685953</v>
      </c>
    </row>
    <row r="430" spans="1:11" outlineLevel="1" x14ac:dyDescent="0.25">
      <c r="A430" s="118">
        <v>8</v>
      </c>
      <c r="B430" s="122">
        <v>5410233712222</v>
      </c>
      <c r="C430" s="129" t="s">
        <v>372</v>
      </c>
      <c r="D430" s="93"/>
      <c r="E430" s="108" t="s">
        <v>24</v>
      </c>
      <c r="F430" s="123">
        <v>6</v>
      </c>
      <c r="G430" s="106">
        <v>130</v>
      </c>
      <c r="H430" s="106">
        <f t="shared" si="19"/>
        <v>11.05</v>
      </c>
      <c r="I430" s="107">
        <f>Tabell8[[#This Row],[NOK]]*Tabell8[[#This Row],[QTY]]</f>
        <v>0</v>
      </c>
      <c r="J430" s="107">
        <f>Tabell8[[#This Row],[EURO]]*Tabell8[[#This Row],[QTY]]</f>
        <v>0</v>
      </c>
      <c r="K430" s="141">
        <v>5764220</v>
      </c>
    </row>
    <row r="431" spans="1:11" outlineLevel="1" x14ac:dyDescent="0.25">
      <c r="A431" s="118">
        <v>9</v>
      </c>
      <c r="B431" s="122">
        <v>7394376619182</v>
      </c>
      <c r="C431" s="129" t="s">
        <v>373</v>
      </c>
      <c r="D431" s="93"/>
      <c r="E431" s="105" t="s">
        <v>24</v>
      </c>
      <c r="F431" s="123">
        <v>6</v>
      </c>
      <c r="G431" s="106">
        <v>28.9</v>
      </c>
      <c r="H431" s="106">
        <f>G431*$N$1</f>
        <v>2.4565000000000001</v>
      </c>
      <c r="I431" s="107">
        <f>Tabell8[[#This Row],[NOK]]*Tabell8[[#This Row],[QTY]]</f>
        <v>0</v>
      </c>
      <c r="J431" s="107">
        <f>Tabell8[[#This Row],[EURO]]*Tabell8[[#This Row],[QTY]]</f>
        <v>0</v>
      </c>
      <c r="K431" s="141">
        <v>5708250</v>
      </c>
    </row>
    <row r="432" spans="1:11" outlineLevel="1" x14ac:dyDescent="0.25">
      <c r="A432" s="118">
        <v>10</v>
      </c>
      <c r="B432" s="122">
        <v>5411188115496</v>
      </c>
      <c r="C432" s="129" t="s">
        <v>374</v>
      </c>
      <c r="D432" s="93"/>
      <c r="E432" s="105" t="s">
        <v>24</v>
      </c>
      <c r="F432" s="123">
        <v>12</v>
      </c>
      <c r="G432" s="106">
        <v>29.9</v>
      </c>
      <c r="H432" s="106">
        <f>G432*$N$1</f>
        <v>2.5415000000000001</v>
      </c>
      <c r="I432" s="107">
        <f>Tabell8[[#This Row],[NOK]]*Tabell8[[#This Row],[QTY]]</f>
        <v>0</v>
      </c>
      <c r="J432" s="107">
        <f>Tabell8[[#This Row],[EURO]]*Tabell8[[#This Row],[QTY]]</f>
        <v>0</v>
      </c>
      <c r="K432" s="141">
        <v>2935922</v>
      </c>
    </row>
    <row r="433" spans="1:11" outlineLevel="1" x14ac:dyDescent="0.25">
      <c r="A433" s="118">
        <v>11</v>
      </c>
      <c r="B433" s="122">
        <v>5411188110835</v>
      </c>
      <c r="C433" s="129" t="s">
        <v>375</v>
      </c>
      <c r="D433" s="93"/>
      <c r="E433" s="105" t="s">
        <v>24</v>
      </c>
      <c r="F433" s="123">
        <v>8</v>
      </c>
      <c r="G433" s="106">
        <v>40.9</v>
      </c>
      <c r="H433" s="106">
        <f>G433*$N$1</f>
        <v>3.4765000000000001</v>
      </c>
      <c r="I433" s="107">
        <f>Tabell8[[#This Row],[NOK]]*Tabell8[[#This Row],[QTY]]</f>
        <v>0</v>
      </c>
      <c r="J433" s="107">
        <f>Tabell8[[#This Row],[EURO]]*Tabell8[[#This Row],[QTY]]</f>
        <v>0</v>
      </c>
      <c r="K433" s="141">
        <v>2753549</v>
      </c>
    </row>
    <row r="434" spans="1:11" outlineLevel="1" x14ac:dyDescent="0.25">
      <c r="A434" s="130">
        <v>12</v>
      </c>
      <c r="B434" s="122">
        <v>9117</v>
      </c>
      <c r="C434" s="129" t="s">
        <v>376</v>
      </c>
      <c r="D434" s="93"/>
      <c r="E434" s="108" t="s">
        <v>24</v>
      </c>
      <c r="F434" s="123">
        <v>24</v>
      </c>
      <c r="G434" s="106">
        <v>9.9</v>
      </c>
      <c r="H434" s="106">
        <f t="shared" si="19"/>
        <v>0.84150000000000014</v>
      </c>
      <c r="I434" s="107">
        <f>Tabell8[[#This Row],[NOK]]*Tabell8[[#This Row],[QTY]]</f>
        <v>0</v>
      </c>
      <c r="J434" s="107">
        <f>Tabell8[[#This Row],[EURO]]*Tabell8[[#This Row],[QTY]]</f>
        <v>0</v>
      </c>
      <c r="K434" s="141">
        <v>12114</v>
      </c>
    </row>
    <row r="435" spans="1:11" outlineLevel="1" x14ac:dyDescent="0.25">
      <c r="A435" s="118">
        <v>13</v>
      </c>
      <c r="B435" s="122">
        <v>9130</v>
      </c>
      <c r="C435" s="129" t="s">
        <v>377</v>
      </c>
      <c r="D435" s="93"/>
      <c r="E435" s="108" t="s">
        <v>24</v>
      </c>
      <c r="F435" s="123">
        <v>24</v>
      </c>
      <c r="G435" s="106">
        <v>9.9</v>
      </c>
      <c r="H435" s="106">
        <f t="shared" si="19"/>
        <v>0.84150000000000014</v>
      </c>
      <c r="I435" s="107">
        <f>Tabell8[[#This Row],[NOK]]*Tabell8[[#This Row],[QTY]]</f>
        <v>0</v>
      </c>
      <c r="J435" s="107">
        <f>Tabell8[[#This Row],[EURO]]*Tabell8[[#This Row],[QTY]]</f>
        <v>0</v>
      </c>
      <c r="K435" s="141">
        <v>15210</v>
      </c>
    </row>
    <row r="436" spans="1:11" outlineLevel="1" x14ac:dyDescent="0.25">
      <c r="A436" s="130">
        <v>14</v>
      </c>
      <c r="B436" s="122">
        <v>9127</v>
      </c>
      <c r="C436" s="129" t="s">
        <v>378</v>
      </c>
      <c r="D436" s="93"/>
      <c r="E436" s="108" t="s">
        <v>24</v>
      </c>
      <c r="F436" s="123">
        <v>24</v>
      </c>
      <c r="G436" s="106">
        <v>9.9</v>
      </c>
      <c r="H436" s="106">
        <f t="shared" si="19"/>
        <v>0.84150000000000014</v>
      </c>
      <c r="I436" s="107">
        <f>Tabell8[[#This Row],[NOK]]*Tabell8[[#This Row],[QTY]]</f>
        <v>0</v>
      </c>
      <c r="J436" s="107">
        <f>Tabell8[[#This Row],[EURO]]*Tabell8[[#This Row],[QTY]]</f>
        <v>0</v>
      </c>
      <c r="K436" s="141">
        <v>12116</v>
      </c>
    </row>
    <row r="437" spans="1:11" outlineLevel="1" x14ac:dyDescent="0.25">
      <c r="A437" s="118">
        <v>15</v>
      </c>
      <c r="B437" s="122">
        <v>9112</v>
      </c>
      <c r="C437" s="129" t="s">
        <v>379</v>
      </c>
      <c r="D437" s="93"/>
      <c r="E437" s="108" t="s">
        <v>24</v>
      </c>
      <c r="F437" s="123">
        <v>24</v>
      </c>
      <c r="G437" s="106">
        <v>9.9</v>
      </c>
      <c r="H437" s="106">
        <f t="shared" si="19"/>
        <v>0.84150000000000014</v>
      </c>
      <c r="I437" s="107">
        <f>Tabell8[[#This Row],[NOK]]*Tabell8[[#This Row],[QTY]]</f>
        <v>0</v>
      </c>
      <c r="J437" s="107">
        <f>Tabell8[[#This Row],[EURO]]*Tabell8[[#This Row],[QTY]]</f>
        <v>0</v>
      </c>
      <c r="K437" s="141">
        <v>12110</v>
      </c>
    </row>
    <row r="438" spans="1:11" outlineLevel="1" x14ac:dyDescent="0.25">
      <c r="A438" s="118">
        <v>16</v>
      </c>
      <c r="B438" s="122">
        <v>9108</v>
      </c>
      <c r="C438" s="129" t="s">
        <v>380</v>
      </c>
      <c r="D438" s="93"/>
      <c r="E438" s="105" t="s">
        <v>24</v>
      </c>
      <c r="F438" s="123">
        <v>24</v>
      </c>
      <c r="G438" s="106">
        <v>9.9</v>
      </c>
      <c r="H438" s="106">
        <f t="shared" si="19"/>
        <v>0.84150000000000014</v>
      </c>
      <c r="I438" s="107">
        <f>Tabell8[[#This Row],[NOK]]*Tabell8[[#This Row],[QTY]]</f>
        <v>0</v>
      </c>
      <c r="J438" s="107">
        <f>Tabell8[[#This Row],[EURO]]*Tabell8[[#This Row],[QTY]]</f>
        <v>0</v>
      </c>
      <c r="K438" s="141">
        <v>17845</v>
      </c>
    </row>
    <row r="439" spans="1:11" outlineLevel="1" x14ac:dyDescent="0.25">
      <c r="A439" s="118">
        <v>17</v>
      </c>
      <c r="B439" s="122">
        <v>9126</v>
      </c>
      <c r="C439" s="129" t="s">
        <v>381</v>
      </c>
      <c r="D439" s="93"/>
      <c r="E439" s="105" t="s">
        <v>24</v>
      </c>
      <c r="F439" s="123">
        <v>24</v>
      </c>
      <c r="G439" s="106">
        <v>9.9</v>
      </c>
      <c r="H439" s="106">
        <f>G439*$N$1</f>
        <v>0.84150000000000014</v>
      </c>
      <c r="I439" s="107">
        <f>Tabell8[[#This Row],[NOK]]*Tabell8[[#This Row],[QTY]]</f>
        <v>0</v>
      </c>
      <c r="J439" s="107">
        <f>Tabell8[[#This Row],[EURO]]*Tabell8[[#This Row],[QTY]]</f>
        <v>0</v>
      </c>
      <c r="K439" s="141"/>
    </row>
    <row r="440" spans="1:11" outlineLevel="1" x14ac:dyDescent="0.25">
      <c r="A440" s="118">
        <v>18</v>
      </c>
      <c r="B440" s="122">
        <v>5740700985300</v>
      </c>
      <c r="C440" s="129" t="s">
        <v>382</v>
      </c>
      <c r="D440" s="93"/>
      <c r="E440" s="105" t="s">
        <v>24</v>
      </c>
      <c r="F440" s="123">
        <v>24</v>
      </c>
      <c r="G440" s="106">
        <v>9.9</v>
      </c>
      <c r="H440" s="106">
        <f>G440*$N$1</f>
        <v>0.84150000000000014</v>
      </c>
      <c r="I440" s="107">
        <f>Tabell8[[#This Row],[NOK]]*Tabell8[[#This Row],[QTY]]</f>
        <v>0</v>
      </c>
      <c r="J440" s="107">
        <f>Tabell8[[#This Row],[EURO]]*Tabell8[[#This Row],[QTY]]</f>
        <v>0</v>
      </c>
      <c r="K440" s="141"/>
    </row>
    <row r="441" spans="1:11" outlineLevel="1" x14ac:dyDescent="0.25">
      <c r="A441" s="118">
        <v>19</v>
      </c>
      <c r="B441" s="122">
        <v>5740700994654</v>
      </c>
      <c r="C441" s="129" t="s">
        <v>383</v>
      </c>
      <c r="D441" s="93"/>
      <c r="E441" s="105" t="s">
        <v>24</v>
      </c>
      <c r="F441" s="123">
        <v>24</v>
      </c>
      <c r="G441" s="106">
        <v>9.9</v>
      </c>
      <c r="H441" s="106">
        <f>G441*$N$1</f>
        <v>0.84150000000000014</v>
      </c>
      <c r="I441" s="107">
        <f>Tabell8[[#This Row],[NOK]]*Tabell8[[#This Row],[QTY]]</f>
        <v>0</v>
      </c>
      <c r="J441" s="107">
        <f>Tabell8[[#This Row],[EURO]]*Tabell8[[#This Row],[QTY]]</f>
        <v>0</v>
      </c>
      <c r="K441" s="141"/>
    </row>
    <row r="442" spans="1:11" outlineLevel="1" x14ac:dyDescent="0.25">
      <c r="A442" s="118">
        <v>20</v>
      </c>
      <c r="B442" s="122">
        <v>9101</v>
      </c>
      <c r="C442" s="129" t="s">
        <v>384</v>
      </c>
      <c r="D442" s="93"/>
      <c r="E442" s="105" t="s">
        <v>24</v>
      </c>
      <c r="F442" s="123">
        <v>24</v>
      </c>
      <c r="G442" s="106">
        <v>9.9</v>
      </c>
      <c r="H442" s="106">
        <f t="shared" si="19"/>
        <v>0.84150000000000014</v>
      </c>
      <c r="I442" s="107">
        <f>Tabell8[[#This Row],[NOK]]*Tabell8[[#This Row],[QTY]]</f>
        <v>0</v>
      </c>
      <c r="J442" s="107">
        <f>Tabell8[[#This Row],[EURO]]*Tabell8[[#This Row],[QTY]]</f>
        <v>0</v>
      </c>
      <c r="K442" s="141">
        <v>17707</v>
      </c>
    </row>
    <row r="443" spans="1:11" outlineLevel="1" x14ac:dyDescent="0.25">
      <c r="A443" s="118">
        <v>21</v>
      </c>
      <c r="B443" s="122">
        <v>400210382020</v>
      </c>
      <c r="C443" s="129" t="s">
        <v>385</v>
      </c>
      <c r="D443" s="93"/>
      <c r="E443" s="105" t="s">
        <v>24</v>
      </c>
      <c r="F443" s="123">
        <v>24</v>
      </c>
      <c r="G443" s="106">
        <v>14.5</v>
      </c>
      <c r="H443" s="106">
        <f>G443*$N$1</f>
        <v>1.2325000000000002</v>
      </c>
      <c r="I443" s="107">
        <f>Tabell8[[#This Row],[NOK]]*Tabell8[[#This Row],[QTY]]</f>
        <v>0</v>
      </c>
      <c r="J443" s="107">
        <f>Tabell8[[#This Row],[EURO]]*Tabell8[[#This Row],[QTY]]</f>
        <v>0</v>
      </c>
      <c r="K443" s="141"/>
    </row>
    <row r="444" spans="1:11" outlineLevel="1" x14ac:dyDescent="0.25">
      <c r="A444" s="118">
        <v>22</v>
      </c>
      <c r="B444" s="122">
        <v>7037120026835</v>
      </c>
      <c r="C444" s="129" t="s">
        <v>386</v>
      </c>
      <c r="D444" s="93"/>
      <c r="E444" s="105" t="s">
        <v>24</v>
      </c>
      <c r="F444" s="123">
        <v>24</v>
      </c>
      <c r="G444" s="106">
        <v>11.5</v>
      </c>
      <c r="H444" s="106">
        <f>G444*$N$1</f>
        <v>0.97750000000000004</v>
      </c>
      <c r="I444" s="107">
        <f>Tabell8[[#This Row],[NOK]]*Tabell8[[#This Row],[QTY]]</f>
        <v>0</v>
      </c>
      <c r="J444" s="107">
        <f>Tabell8[[#This Row],[EURO]]*Tabell8[[#This Row],[QTY]]</f>
        <v>0</v>
      </c>
      <c r="K444" s="141"/>
    </row>
    <row r="445" spans="1:11" outlineLevel="1" x14ac:dyDescent="0.25">
      <c r="A445" s="118">
        <v>23</v>
      </c>
      <c r="B445" s="122">
        <v>7023720012255</v>
      </c>
      <c r="C445" s="129" t="s">
        <v>387</v>
      </c>
      <c r="D445" s="93"/>
      <c r="E445" s="105" t="s">
        <v>24</v>
      </c>
      <c r="F445" s="123">
        <v>8</v>
      </c>
      <c r="G445" s="106">
        <v>12.9</v>
      </c>
      <c r="H445" s="106">
        <f t="shared" si="19"/>
        <v>1.0965</v>
      </c>
      <c r="I445" s="107">
        <f>Tabell8[[#This Row],[NOK]]*Tabell8[[#This Row],[QTY]]</f>
        <v>0</v>
      </c>
      <c r="J445" s="107">
        <f>Tabell8[[#This Row],[EURO]]*Tabell8[[#This Row],[QTY]]</f>
        <v>0</v>
      </c>
      <c r="K445" s="141">
        <v>16595</v>
      </c>
    </row>
    <row r="446" spans="1:11" outlineLevel="1" x14ac:dyDescent="0.25">
      <c r="A446" s="118">
        <v>24</v>
      </c>
      <c r="B446" s="122">
        <v>7026890019406</v>
      </c>
      <c r="C446" s="129" t="s">
        <v>388</v>
      </c>
      <c r="D446" s="93"/>
      <c r="E446" s="105" t="s">
        <v>24</v>
      </c>
      <c r="F446" s="123">
        <v>24</v>
      </c>
      <c r="G446" s="106">
        <v>9.9</v>
      </c>
      <c r="H446" s="106">
        <f t="shared" si="19"/>
        <v>0.84150000000000014</v>
      </c>
      <c r="I446" s="107">
        <f>Tabell8[[#This Row],[NOK]]*Tabell8[[#This Row],[QTY]]</f>
        <v>0</v>
      </c>
      <c r="J446" s="107">
        <f>Tabell8[[#This Row],[EURO]]*Tabell8[[#This Row],[QTY]]</f>
        <v>0</v>
      </c>
      <c r="K446" s="141">
        <v>18147</v>
      </c>
    </row>
    <row r="447" spans="1:11" outlineLevel="1" x14ac:dyDescent="0.25">
      <c r="A447" s="118">
        <v>25</v>
      </c>
      <c r="B447" s="122">
        <v>7090038270769</v>
      </c>
      <c r="C447" s="129" t="s">
        <v>389</v>
      </c>
      <c r="D447" s="93"/>
      <c r="E447" s="105" t="s">
        <v>24</v>
      </c>
      <c r="F447" s="123">
        <v>24</v>
      </c>
      <c r="G447" s="106">
        <v>7.9</v>
      </c>
      <c r="H447" s="106">
        <f t="shared" si="19"/>
        <v>0.6715000000000001</v>
      </c>
      <c r="I447" s="107">
        <f>Tabell8[[#This Row],[NOK]]*Tabell8[[#This Row],[QTY]]</f>
        <v>0</v>
      </c>
      <c r="J447" s="107">
        <f>Tabell8[[#This Row],[EURO]]*Tabell8[[#This Row],[QTY]]</f>
        <v>0</v>
      </c>
      <c r="K447" s="141"/>
    </row>
    <row r="448" spans="1:11" outlineLevel="1" x14ac:dyDescent="0.25">
      <c r="A448" s="118">
        <v>26</v>
      </c>
      <c r="B448" s="122">
        <v>7090038270738</v>
      </c>
      <c r="C448" s="129" t="s">
        <v>390</v>
      </c>
      <c r="D448" s="93"/>
      <c r="E448" s="105" t="s">
        <v>24</v>
      </c>
      <c r="F448" s="123">
        <v>24</v>
      </c>
      <c r="G448" s="106">
        <v>7.9</v>
      </c>
      <c r="H448" s="106">
        <f t="shared" si="19"/>
        <v>0.6715000000000001</v>
      </c>
      <c r="I448" s="107">
        <f>Tabell8[[#This Row],[NOK]]*Tabell8[[#This Row],[QTY]]</f>
        <v>0</v>
      </c>
      <c r="J448" s="107">
        <f>Tabell8[[#This Row],[EURO]]*Tabell8[[#This Row],[QTY]]</f>
        <v>0</v>
      </c>
      <c r="K448" s="141"/>
    </row>
    <row r="449" spans="1:11" outlineLevel="1" x14ac:dyDescent="0.25">
      <c r="A449" s="118">
        <v>27</v>
      </c>
      <c r="B449" s="122">
        <v>70118025</v>
      </c>
      <c r="C449" s="121" t="s">
        <v>391</v>
      </c>
      <c r="D449" s="93"/>
      <c r="E449" s="105" t="s">
        <v>24</v>
      </c>
      <c r="F449" s="123">
        <v>12</v>
      </c>
      <c r="G449" s="106">
        <v>19.899999999999999</v>
      </c>
      <c r="H449" s="106">
        <f t="shared" si="19"/>
        <v>1.6915</v>
      </c>
      <c r="I449" s="107">
        <f>Tabell8[[#This Row],[NOK]]*Tabell8[[#This Row],[QTY]]</f>
        <v>0</v>
      </c>
      <c r="J449" s="107">
        <f>Tabell8[[#This Row],[EURO]]*Tabell8[[#This Row],[QTY]]</f>
        <v>0</v>
      </c>
      <c r="K449" s="141"/>
    </row>
    <row r="450" spans="1:11" hidden="1" outlineLevel="1" x14ac:dyDescent="0.25">
      <c r="A450" s="118">
        <v>28</v>
      </c>
      <c r="B450" s="122">
        <v>7025110160652</v>
      </c>
      <c r="C450" s="121" t="s">
        <v>392</v>
      </c>
      <c r="D450" s="93"/>
      <c r="E450" s="105" t="s">
        <v>24</v>
      </c>
      <c r="F450" s="123">
        <v>1</v>
      </c>
      <c r="G450" s="106">
        <v>29.9</v>
      </c>
      <c r="H450" s="106">
        <f t="shared" ref="H450" si="20">G450*$N$1</f>
        <v>2.5415000000000001</v>
      </c>
      <c r="I450" s="107">
        <f>Tabell8[[#This Row],[NOK]]*Tabell8[[#This Row],[QTY]]</f>
        <v>0</v>
      </c>
      <c r="J450" s="107">
        <f>Tabell8[[#This Row],[EURO]]*Tabell8[[#This Row],[QTY]]</f>
        <v>0</v>
      </c>
      <c r="K450" s="141"/>
    </row>
    <row r="451" spans="1:11" hidden="1" outlineLevel="1" x14ac:dyDescent="0.25">
      <c r="A451" s="118">
        <v>29</v>
      </c>
      <c r="B451" s="122"/>
      <c r="C451" s="129" t="s">
        <v>61</v>
      </c>
      <c r="D451" s="93"/>
      <c r="E451" s="105"/>
      <c r="F451" s="123"/>
      <c r="G451" s="106"/>
      <c r="H451" s="106">
        <f>G451*$N$1</f>
        <v>0</v>
      </c>
      <c r="I451" s="107">
        <f>Tabell8[[#This Row],[NOK]]*Tabell8[[#This Row],[QTY]]</f>
        <v>0</v>
      </c>
      <c r="J451" s="107">
        <f>Tabell8[[#This Row],[EURO]]*Tabell8[[#This Row],[QTY]]</f>
        <v>0</v>
      </c>
      <c r="K451" s="141"/>
    </row>
    <row r="452" spans="1:11" hidden="1" outlineLevel="1" x14ac:dyDescent="0.25">
      <c r="A452" s="118">
        <v>30</v>
      </c>
      <c r="B452" s="122"/>
      <c r="C452" s="129" t="s">
        <v>61</v>
      </c>
      <c r="D452" s="93"/>
      <c r="E452" s="105"/>
      <c r="F452" s="123"/>
      <c r="G452" s="106"/>
      <c r="H452" s="106">
        <f>G452*$N$1</f>
        <v>0</v>
      </c>
      <c r="I452" s="107">
        <f>Tabell8[[#This Row],[NOK]]*Tabell8[[#This Row],[QTY]]</f>
        <v>0</v>
      </c>
      <c r="J452" s="107">
        <f>Tabell8[[#This Row],[EURO]]*Tabell8[[#This Row],[QTY]]</f>
        <v>0</v>
      </c>
      <c r="K452" s="141"/>
    </row>
    <row r="453" spans="1:11" hidden="1" outlineLevel="1" x14ac:dyDescent="0.25">
      <c r="A453" s="118">
        <v>31</v>
      </c>
      <c r="B453" s="122"/>
      <c r="C453" s="129" t="s">
        <v>61</v>
      </c>
      <c r="D453" s="93"/>
      <c r="E453" s="105"/>
      <c r="F453" s="123"/>
      <c r="G453" s="106"/>
      <c r="H453" s="106">
        <f>G453*$N$1</f>
        <v>0</v>
      </c>
      <c r="I453" s="107">
        <f>Tabell8[[#This Row],[NOK]]*Tabell8[[#This Row],[QTY]]</f>
        <v>0</v>
      </c>
      <c r="J453" s="107">
        <f>Tabell8[[#This Row],[EURO]]*Tabell8[[#This Row],[QTY]]</f>
        <v>0</v>
      </c>
      <c r="K453" s="141"/>
    </row>
    <row r="454" spans="1:11" hidden="1" outlineLevel="1" x14ac:dyDescent="0.25">
      <c r="A454" s="118">
        <v>32</v>
      </c>
      <c r="B454" s="122"/>
      <c r="C454" s="129" t="s">
        <v>61</v>
      </c>
      <c r="D454" s="93"/>
      <c r="E454" s="105"/>
      <c r="F454" s="123"/>
      <c r="G454" s="106"/>
      <c r="H454" s="106">
        <f>G454*$N$1</f>
        <v>0</v>
      </c>
      <c r="I454" s="107">
        <f>Tabell8[[#This Row],[NOK]]*Tabell8[[#This Row],[QTY]]</f>
        <v>0</v>
      </c>
      <c r="J454" s="107">
        <f>Tabell8[[#This Row],[EURO]]*Tabell8[[#This Row],[QTY]]</f>
        <v>0</v>
      </c>
      <c r="K454" s="141"/>
    </row>
    <row r="455" spans="1:11" hidden="1" x14ac:dyDescent="0.25">
      <c r="A455" s="118">
        <v>33</v>
      </c>
      <c r="B455" s="122"/>
      <c r="C455" s="129" t="s">
        <v>61</v>
      </c>
      <c r="D455" s="93"/>
      <c r="E455" s="105"/>
      <c r="F455" s="123"/>
      <c r="G455" s="106"/>
      <c r="H455" s="106">
        <f>G455*$N$1</f>
        <v>0</v>
      </c>
      <c r="I455" s="107">
        <f>Tabell8[[#This Row],[NOK]]*Tabell8[[#This Row],[QTY]]</f>
        <v>0</v>
      </c>
      <c r="J455" s="107">
        <f>Tabell8[[#This Row],[EURO]]*Tabell8[[#This Row],[QTY]]</f>
        <v>0</v>
      </c>
      <c r="K455" s="141"/>
    </row>
    <row r="457" spans="1:11" x14ac:dyDescent="0.25">
      <c r="I457" s="188">
        <f>SUM(I423:I456)</f>
        <v>0</v>
      </c>
      <c r="J457" s="188">
        <f>SUM(J423:J456)</f>
        <v>0</v>
      </c>
    </row>
    <row r="458" spans="1:11" ht="18.75" x14ac:dyDescent="0.3">
      <c r="A458" s="194" t="s">
        <v>393</v>
      </c>
      <c r="B458" s="194"/>
      <c r="C458" s="194"/>
      <c r="D458" s="194"/>
      <c r="E458" s="194"/>
      <c r="F458" s="194"/>
      <c r="G458" s="194"/>
      <c r="H458" s="194"/>
      <c r="I458" s="194"/>
      <c r="J458" s="194"/>
    </row>
    <row r="459" spans="1:11" outlineLevel="1" x14ac:dyDescent="0.25">
      <c r="A459" s="96" t="s">
        <v>6</v>
      </c>
      <c r="B459" s="96" t="s">
        <v>7</v>
      </c>
      <c r="C459" s="96" t="s">
        <v>8</v>
      </c>
      <c r="D459" s="96" t="s">
        <v>16</v>
      </c>
      <c r="E459" s="140" t="s">
        <v>10</v>
      </c>
      <c r="F459" s="140" t="s">
        <v>17</v>
      </c>
      <c r="G459" s="140" t="s">
        <v>18</v>
      </c>
      <c r="H459" s="140" t="s">
        <v>19</v>
      </c>
      <c r="I459" s="140" t="s">
        <v>20</v>
      </c>
      <c r="J459" s="140" t="s">
        <v>21</v>
      </c>
      <c r="K459" s="144" t="s">
        <v>22</v>
      </c>
    </row>
    <row r="460" spans="1:11" outlineLevel="1" x14ac:dyDescent="0.25">
      <c r="A460" s="138">
        <v>1</v>
      </c>
      <c r="B460" s="122">
        <v>378801</v>
      </c>
      <c r="C460" s="121" t="s">
        <v>394</v>
      </c>
      <c r="D460" s="99"/>
      <c r="E460" s="123" t="s">
        <v>24</v>
      </c>
      <c r="F460" s="121">
        <v>12</v>
      </c>
      <c r="G460" s="139">
        <v>75</v>
      </c>
      <c r="H460" s="106">
        <f t="shared" ref="H460:H492" si="21">G460*$N$1</f>
        <v>6.3750000000000009</v>
      </c>
      <c r="I460" s="107">
        <f>Tabell23[[#This Row],[NOK]]*Tabell23[[#This Row],[QTY]]</f>
        <v>0</v>
      </c>
      <c r="J460" s="107">
        <f>Tabell23[[#This Row],[EURO]]*Tabell23[[#This Row],[QTY]]</f>
        <v>0</v>
      </c>
      <c r="K460" s="147"/>
    </row>
    <row r="461" spans="1:11" outlineLevel="1" x14ac:dyDescent="0.25">
      <c r="A461" s="138">
        <v>2</v>
      </c>
      <c r="B461" s="122">
        <v>2001501</v>
      </c>
      <c r="C461" s="121" t="s">
        <v>395</v>
      </c>
      <c r="D461" s="99"/>
      <c r="E461" s="123" t="s">
        <v>24</v>
      </c>
      <c r="F461" s="121">
        <v>12</v>
      </c>
      <c r="G461" s="139">
        <v>130</v>
      </c>
      <c r="H461" s="106">
        <f t="shared" si="21"/>
        <v>11.05</v>
      </c>
      <c r="I461" s="107">
        <f>Tabell23[[#This Row],[NOK]]*Tabell23[[#This Row],[QTY]]</f>
        <v>0</v>
      </c>
      <c r="J461" s="107">
        <f>Tabell23[[#This Row],[EURO]]*Tabell23[[#This Row],[QTY]]</f>
        <v>0</v>
      </c>
      <c r="K461" s="148"/>
    </row>
    <row r="462" spans="1:11" outlineLevel="1" x14ac:dyDescent="0.25">
      <c r="A462" s="138">
        <v>3</v>
      </c>
      <c r="B462" s="122">
        <v>148361</v>
      </c>
      <c r="C462" s="121" t="s">
        <v>396</v>
      </c>
      <c r="D462" s="99"/>
      <c r="E462" s="123" t="s">
        <v>24</v>
      </c>
      <c r="F462" s="121">
        <v>12</v>
      </c>
      <c r="G462" s="139">
        <v>120</v>
      </c>
      <c r="H462" s="106">
        <f t="shared" si="21"/>
        <v>10.200000000000001</v>
      </c>
      <c r="I462" s="107">
        <f>Tabell23[[#This Row],[NOK]]*Tabell23[[#This Row],[QTY]]</f>
        <v>0</v>
      </c>
      <c r="J462" s="107">
        <f>Tabell23[[#This Row],[EURO]]*Tabell23[[#This Row],[QTY]]</f>
        <v>0</v>
      </c>
      <c r="K462" s="148"/>
    </row>
    <row r="463" spans="1:11" outlineLevel="1" x14ac:dyDescent="0.25">
      <c r="A463" s="138">
        <v>4</v>
      </c>
      <c r="B463" s="122">
        <v>127975</v>
      </c>
      <c r="C463" s="121" t="s">
        <v>397</v>
      </c>
      <c r="D463" s="99"/>
      <c r="E463" s="123" t="s">
        <v>24</v>
      </c>
      <c r="F463" s="121">
        <v>6</v>
      </c>
      <c r="G463" s="139">
        <v>120</v>
      </c>
      <c r="H463" s="106">
        <f t="shared" si="21"/>
        <v>10.200000000000001</v>
      </c>
      <c r="I463" s="107">
        <f>Tabell23[[#This Row],[NOK]]*Tabell23[[#This Row],[QTY]]</f>
        <v>0</v>
      </c>
      <c r="J463" s="107">
        <f>Tabell23[[#This Row],[EURO]]*Tabell23[[#This Row],[QTY]]</f>
        <v>0</v>
      </c>
      <c r="K463" s="148"/>
    </row>
    <row r="464" spans="1:11" outlineLevel="1" x14ac:dyDescent="0.25">
      <c r="A464" s="138">
        <v>5</v>
      </c>
      <c r="B464" s="122">
        <v>10130301</v>
      </c>
      <c r="C464" s="121" t="s">
        <v>398</v>
      </c>
      <c r="D464" s="99"/>
      <c r="E464" s="123" t="s">
        <v>24</v>
      </c>
      <c r="F464" s="121">
        <v>12</v>
      </c>
      <c r="G464" s="139">
        <v>180</v>
      </c>
      <c r="H464" s="106">
        <f t="shared" si="21"/>
        <v>15.3</v>
      </c>
      <c r="I464" s="107">
        <f>Tabell23[[#This Row],[NOK]]*Tabell23[[#This Row],[QTY]]</f>
        <v>0</v>
      </c>
      <c r="J464" s="107">
        <f>Tabell23[[#This Row],[EURO]]*Tabell23[[#This Row],[QTY]]</f>
        <v>0</v>
      </c>
      <c r="K464" s="148"/>
    </row>
    <row r="465" spans="1:11" outlineLevel="1" x14ac:dyDescent="0.25">
      <c r="A465" s="138">
        <v>6</v>
      </c>
      <c r="B465" s="122">
        <v>5500801</v>
      </c>
      <c r="C465" s="121" t="s">
        <v>399</v>
      </c>
      <c r="D465" s="99"/>
      <c r="E465" s="123" t="s">
        <v>24</v>
      </c>
      <c r="F465" s="121">
        <v>6</v>
      </c>
      <c r="G465" s="139">
        <v>110</v>
      </c>
      <c r="H465" s="106">
        <f t="shared" si="21"/>
        <v>9.3500000000000014</v>
      </c>
      <c r="I465" s="107">
        <f>Tabell23[[#This Row],[NOK]]*Tabell23[[#This Row],[QTY]]</f>
        <v>0</v>
      </c>
      <c r="J465" s="107">
        <f>Tabell23[[#This Row],[EURO]]*Tabell23[[#This Row],[QTY]]</f>
        <v>0</v>
      </c>
      <c r="K465" s="148"/>
    </row>
    <row r="466" spans="1:11" outlineLevel="1" x14ac:dyDescent="0.25">
      <c r="A466" s="138">
        <v>7</v>
      </c>
      <c r="B466" s="122">
        <v>127256</v>
      </c>
      <c r="C466" s="121" t="s">
        <v>400</v>
      </c>
      <c r="D466" s="99"/>
      <c r="E466" s="123" t="s">
        <v>24</v>
      </c>
      <c r="F466" s="121">
        <v>6</v>
      </c>
      <c r="G466" s="139">
        <v>169</v>
      </c>
      <c r="H466" s="106">
        <f t="shared" si="21"/>
        <v>14.365</v>
      </c>
      <c r="I466" s="107">
        <f>Tabell23[[#This Row],[NOK]]*Tabell23[[#This Row],[QTY]]</f>
        <v>0</v>
      </c>
      <c r="J466" s="107">
        <f>Tabell23[[#This Row],[EURO]]*Tabell23[[#This Row],[QTY]]</f>
        <v>0</v>
      </c>
      <c r="K466" s="148"/>
    </row>
    <row r="467" spans="1:11" outlineLevel="1" x14ac:dyDescent="0.25">
      <c r="A467" s="138">
        <v>8</v>
      </c>
      <c r="B467" s="122">
        <v>125301</v>
      </c>
      <c r="C467" s="121" t="s">
        <v>443</v>
      </c>
      <c r="D467" s="99"/>
      <c r="E467" s="123" t="s">
        <v>24</v>
      </c>
      <c r="F467" s="121">
        <v>12</v>
      </c>
      <c r="G467" s="139">
        <v>251</v>
      </c>
      <c r="H467" s="106">
        <f t="shared" si="21"/>
        <v>21.335000000000001</v>
      </c>
      <c r="I467" s="107">
        <f>Tabell23[[#This Row],[NOK]]*Tabell23[[#This Row],[QTY]]</f>
        <v>0</v>
      </c>
      <c r="J467" s="107">
        <f>Tabell23[[#This Row],[EURO]]*Tabell23[[#This Row],[QTY]]</f>
        <v>0</v>
      </c>
      <c r="K467" s="148"/>
    </row>
    <row r="468" spans="1:11" outlineLevel="1" x14ac:dyDescent="0.25">
      <c r="A468" s="138">
        <v>10</v>
      </c>
      <c r="B468" s="122">
        <v>12590201</v>
      </c>
      <c r="C468" s="121" t="s">
        <v>401</v>
      </c>
      <c r="D468" s="99"/>
      <c r="E468" s="123" t="s">
        <v>24</v>
      </c>
      <c r="F468" s="121">
        <v>6</v>
      </c>
      <c r="G468" s="139">
        <v>160</v>
      </c>
      <c r="H468" s="106">
        <f t="shared" si="21"/>
        <v>13.600000000000001</v>
      </c>
      <c r="I468" s="107">
        <f>Tabell23[[#This Row],[NOK]]*Tabell23[[#This Row],[QTY]]</f>
        <v>0</v>
      </c>
      <c r="J468" s="107">
        <f>Tabell23[[#This Row],[EURO]]*Tabell23[[#This Row],[QTY]]</f>
        <v>0</v>
      </c>
      <c r="K468" s="148"/>
    </row>
    <row r="469" spans="1:11" outlineLevel="1" x14ac:dyDescent="0.25">
      <c r="A469" s="138">
        <v>11</v>
      </c>
      <c r="B469" s="122">
        <v>621801</v>
      </c>
      <c r="C469" s="121" t="s">
        <v>402</v>
      </c>
      <c r="D469" s="99"/>
      <c r="E469" s="123" t="s">
        <v>24</v>
      </c>
      <c r="F469" s="121">
        <v>12</v>
      </c>
      <c r="G469" s="139">
        <v>145</v>
      </c>
      <c r="H469" s="106">
        <f t="shared" si="21"/>
        <v>12.325000000000001</v>
      </c>
      <c r="I469" s="107">
        <f>Tabell23[[#This Row],[NOK]]*Tabell23[[#This Row],[QTY]]</f>
        <v>0</v>
      </c>
      <c r="J469" s="107">
        <f>Tabell23[[#This Row],[EURO]]*Tabell23[[#This Row],[QTY]]</f>
        <v>0</v>
      </c>
      <c r="K469" s="148"/>
    </row>
    <row r="470" spans="1:11" outlineLevel="1" x14ac:dyDescent="0.25">
      <c r="A470" s="138">
        <v>12</v>
      </c>
      <c r="B470" s="122">
        <v>4176601</v>
      </c>
      <c r="C470" s="121" t="s">
        <v>444</v>
      </c>
      <c r="D470" s="99"/>
      <c r="E470" s="123" t="s">
        <v>24</v>
      </c>
      <c r="F470" s="121">
        <v>12</v>
      </c>
      <c r="G470" s="139">
        <v>140</v>
      </c>
      <c r="H470" s="106">
        <f t="shared" si="21"/>
        <v>11.9</v>
      </c>
      <c r="I470" s="107">
        <f>Tabell23[[#This Row],[NOK]]*Tabell23[[#This Row],[QTY]]</f>
        <v>0</v>
      </c>
      <c r="J470" s="107">
        <f>Tabell23[[#This Row],[EURO]]*Tabell23[[#This Row],[QTY]]</f>
        <v>0</v>
      </c>
      <c r="K470" s="148"/>
    </row>
    <row r="471" spans="1:11" outlineLevel="1" x14ac:dyDescent="0.25">
      <c r="A471" s="138">
        <v>13</v>
      </c>
      <c r="B471" s="122">
        <v>101901</v>
      </c>
      <c r="C471" s="121" t="s">
        <v>403</v>
      </c>
      <c r="D471" s="99"/>
      <c r="E471" s="123" t="s">
        <v>24</v>
      </c>
      <c r="F471" s="121">
        <v>12</v>
      </c>
      <c r="G471" s="139">
        <v>75</v>
      </c>
      <c r="H471" s="106">
        <f t="shared" si="21"/>
        <v>6.3750000000000009</v>
      </c>
      <c r="I471" s="107">
        <f>Tabell23[[#This Row],[NOK]]*Tabell23[[#This Row],[QTY]]</f>
        <v>0</v>
      </c>
      <c r="J471" s="107">
        <f>Tabell23[[#This Row],[EURO]]*Tabell23[[#This Row],[QTY]]</f>
        <v>0</v>
      </c>
      <c r="K471" s="148"/>
    </row>
    <row r="472" spans="1:11" outlineLevel="1" x14ac:dyDescent="0.25">
      <c r="A472" s="138">
        <v>14</v>
      </c>
      <c r="B472" s="122">
        <v>1954313</v>
      </c>
      <c r="C472" s="121" t="s">
        <v>404</v>
      </c>
      <c r="D472" s="99"/>
      <c r="E472" s="123" t="s">
        <v>24</v>
      </c>
      <c r="F472" s="121">
        <v>12</v>
      </c>
      <c r="G472" s="139">
        <v>210</v>
      </c>
      <c r="H472" s="106">
        <f t="shared" si="21"/>
        <v>17.850000000000001</v>
      </c>
      <c r="I472" s="107">
        <f>Tabell23[[#This Row],[NOK]]*Tabell23[[#This Row],[QTY]]</f>
        <v>0</v>
      </c>
      <c r="J472" s="107">
        <f>Tabell23[[#This Row],[EURO]]*Tabell23[[#This Row],[QTY]]</f>
        <v>0</v>
      </c>
      <c r="K472" s="148"/>
    </row>
    <row r="473" spans="1:11" outlineLevel="1" x14ac:dyDescent="0.25">
      <c r="A473" s="138">
        <v>15</v>
      </c>
      <c r="B473" s="122">
        <v>4184001</v>
      </c>
      <c r="C473" s="121" t="s">
        <v>405</v>
      </c>
      <c r="D473" s="99"/>
      <c r="E473" s="123" t="s">
        <v>24</v>
      </c>
      <c r="F473" s="121">
        <v>12</v>
      </c>
      <c r="G473" s="139">
        <v>210</v>
      </c>
      <c r="H473" s="106">
        <f t="shared" si="21"/>
        <v>17.850000000000001</v>
      </c>
      <c r="I473" s="107">
        <f>Tabell23[[#This Row],[NOK]]*Tabell23[[#This Row],[QTY]]</f>
        <v>0</v>
      </c>
      <c r="J473" s="107">
        <f>Tabell23[[#This Row],[EURO]]*Tabell23[[#This Row],[QTY]]</f>
        <v>0</v>
      </c>
      <c r="K473" s="148"/>
    </row>
    <row r="474" spans="1:11" outlineLevel="1" x14ac:dyDescent="0.25">
      <c r="A474" s="138">
        <v>16</v>
      </c>
      <c r="B474" s="122">
        <v>1940023</v>
      </c>
      <c r="C474" s="121" t="s">
        <v>406</v>
      </c>
      <c r="D474" s="99"/>
      <c r="E474" s="123" t="s">
        <v>24</v>
      </c>
      <c r="F474" s="121">
        <v>6</v>
      </c>
      <c r="G474" s="139">
        <v>225</v>
      </c>
      <c r="H474" s="106">
        <f t="shared" si="21"/>
        <v>19.125</v>
      </c>
      <c r="I474" s="107">
        <f>Tabell23[[#This Row],[NOK]]*Tabell23[[#This Row],[QTY]]</f>
        <v>0</v>
      </c>
      <c r="J474" s="107">
        <f>Tabell23[[#This Row],[EURO]]*Tabell23[[#This Row],[QTY]]</f>
        <v>0</v>
      </c>
      <c r="K474" s="148"/>
    </row>
    <row r="475" spans="1:11" outlineLevel="1" x14ac:dyDescent="0.25">
      <c r="A475" s="138">
        <v>17</v>
      </c>
      <c r="B475" s="122">
        <v>9034548</v>
      </c>
      <c r="C475" s="121" t="s">
        <v>407</v>
      </c>
      <c r="D475" s="99"/>
      <c r="E475" s="123" t="s">
        <v>24</v>
      </c>
      <c r="F475" s="121">
        <v>6</v>
      </c>
      <c r="G475" s="139">
        <v>350</v>
      </c>
      <c r="H475" s="106">
        <f t="shared" si="21"/>
        <v>29.750000000000004</v>
      </c>
      <c r="I475" s="107">
        <f>Tabell23[[#This Row],[NOK]]*Tabell23[[#This Row],[QTY]]</f>
        <v>0</v>
      </c>
      <c r="J475" s="107">
        <f>Tabell23[[#This Row],[EURO]]*Tabell23[[#This Row],[QTY]]</f>
        <v>0</v>
      </c>
      <c r="K475" s="148"/>
    </row>
    <row r="476" spans="1:11" outlineLevel="1" x14ac:dyDescent="0.25">
      <c r="A476" s="138">
        <v>18</v>
      </c>
      <c r="B476" s="122">
        <v>1900131</v>
      </c>
      <c r="C476" s="121" t="s">
        <v>408</v>
      </c>
      <c r="D476" s="99"/>
      <c r="E476" s="123" t="s">
        <v>24</v>
      </c>
      <c r="F476" s="121">
        <v>12</v>
      </c>
      <c r="G476" s="139">
        <v>285</v>
      </c>
      <c r="H476" s="106">
        <f t="shared" si="21"/>
        <v>24.225000000000001</v>
      </c>
      <c r="I476" s="107">
        <f>Tabell23[[#This Row],[NOK]]*Tabell23[[#This Row],[QTY]]</f>
        <v>0</v>
      </c>
      <c r="J476" s="107">
        <f>Tabell23[[#This Row],[EURO]]*Tabell23[[#This Row],[QTY]]</f>
        <v>0</v>
      </c>
      <c r="K476" s="148"/>
    </row>
    <row r="477" spans="1:11" outlineLevel="1" x14ac:dyDescent="0.25">
      <c r="A477" s="138">
        <v>19</v>
      </c>
      <c r="B477" s="122">
        <v>8142501</v>
      </c>
      <c r="C477" s="121" t="s">
        <v>409</v>
      </c>
      <c r="D477" s="99"/>
      <c r="E477" s="123" t="s">
        <v>24</v>
      </c>
      <c r="F477" s="121">
        <v>6</v>
      </c>
      <c r="G477" s="139">
        <v>345</v>
      </c>
      <c r="H477" s="106">
        <f t="shared" si="21"/>
        <v>29.325000000000003</v>
      </c>
      <c r="I477" s="107">
        <f>Tabell23[[#This Row],[NOK]]*Tabell23[[#This Row],[QTY]]</f>
        <v>0</v>
      </c>
      <c r="J477" s="107">
        <f>Tabell23[[#This Row],[EURO]]*Tabell23[[#This Row],[QTY]]</f>
        <v>0</v>
      </c>
      <c r="K477" s="148"/>
    </row>
    <row r="478" spans="1:11" outlineLevel="1" x14ac:dyDescent="0.25">
      <c r="A478" s="138">
        <v>20</v>
      </c>
      <c r="B478" s="118"/>
      <c r="C478" s="121" t="s">
        <v>410</v>
      </c>
      <c r="D478" s="99"/>
      <c r="E478" s="123" t="s">
        <v>24</v>
      </c>
      <c r="F478" s="121">
        <v>6</v>
      </c>
      <c r="G478" s="139">
        <v>580</v>
      </c>
      <c r="H478" s="106">
        <f t="shared" si="21"/>
        <v>49.300000000000004</v>
      </c>
      <c r="I478" s="107">
        <f>Tabell23[[#This Row],[NOK]]*Tabell23[[#This Row],[QTY]]</f>
        <v>0</v>
      </c>
      <c r="J478" s="107">
        <f>Tabell23[[#This Row],[EURO]]*Tabell23[[#This Row],[QTY]]</f>
        <v>0</v>
      </c>
      <c r="K478" s="148"/>
    </row>
    <row r="479" spans="1:11" outlineLevel="1" x14ac:dyDescent="0.25">
      <c r="A479" s="138">
        <v>21</v>
      </c>
      <c r="B479" s="118"/>
      <c r="C479" s="121" t="s">
        <v>411</v>
      </c>
      <c r="D479" s="99"/>
      <c r="E479" s="123" t="s">
        <v>24</v>
      </c>
      <c r="F479" s="121">
        <v>6</v>
      </c>
      <c r="G479" s="139">
        <v>395</v>
      </c>
      <c r="H479" s="106">
        <f t="shared" si="21"/>
        <v>33.575000000000003</v>
      </c>
      <c r="I479" s="107">
        <f>Tabell23[[#This Row],[NOK]]*Tabell23[[#This Row],[QTY]]</f>
        <v>0</v>
      </c>
      <c r="J479" s="107">
        <f>Tabell23[[#This Row],[EURO]]*Tabell23[[#This Row],[QTY]]</f>
        <v>0</v>
      </c>
      <c r="K479" s="148"/>
    </row>
    <row r="480" spans="1:11" outlineLevel="1" x14ac:dyDescent="0.25">
      <c r="A480" s="138">
        <v>22</v>
      </c>
      <c r="B480" s="118"/>
      <c r="C480" s="121" t="s">
        <v>412</v>
      </c>
      <c r="D480" s="99"/>
      <c r="E480" s="123" t="s">
        <v>24</v>
      </c>
      <c r="F480" s="121">
        <v>6</v>
      </c>
      <c r="G480" s="139">
        <v>395</v>
      </c>
      <c r="H480" s="106">
        <f t="shared" si="21"/>
        <v>33.575000000000003</v>
      </c>
      <c r="I480" s="107">
        <f>Tabell23[[#This Row],[NOK]]*Tabell23[[#This Row],[QTY]]</f>
        <v>0</v>
      </c>
      <c r="J480" s="107">
        <f>Tabell23[[#This Row],[EURO]]*Tabell23[[#This Row],[QTY]]</f>
        <v>0</v>
      </c>
      <c r="K480" s="148"/>
    </row>
    <row r="481" spans="1:11" outlineLevel="1" x14ac:dyDescent="0.25">
      <c r="A481" s="138">
        <v>24</v>
      </c>
      <c r="B481" s="118">
        <v>11102</v>
      </c>
      <c r="C481" s="121" t="s">
        <v>413</v>
      </c>
      <c r="D481" s="99"/>
      <c r="E481" s="123" t="s">
        <v>24</v>
      </c>
      <c r="F481" s="121">
        <v>24</v>
      </c>
      <c r="G481" s="139">
        <v>30</v>
      </c>
      <c r="H481" s="106">
        <f t="shared" si="21"/>
        <v>2.5500000000000003</v>
      </c>
      <c r="I481" s="107">
        <f>Tabell23[[#This Row],[NOK]]*Tabell23[[#This Row],[QTY]]</f>
        <v>0</v>
      </c>
      <c r="J481" s="107">
        <f>Tabell23[[#This Row],[EURO]]*Tabell23[[#This Row],[QTY]]</f>
        <v>0</v>
      </c>
      <c r="K481" s="148"/>
    </row>
    <row r="482" spans="1:11" outlineLevel="1" x14ac:dyDescent="0.25">
      <c r="A482" s="138">
        <v>26</v>
      </c>
      <c r="B482" s="118">
        <v>11062</v>
      </c>
      <c r="C482" s="121" t="s">
        <v>414</v>
      </c>
      <c r="D482" s="99"/>
      <c r="E482" s="123" t="s">
        <v>24</v>
      </c>
      <c r="F482" s="121">
        <v>24</v>
      </c>
      <c r="G482" s="139">
        <v>30</v>
      </c>
      <c r="H482" s="106">
        <f t="shared" si="21"/>
        <v>2.5500000000000003</v>
      </c>
      <c r="I482" s="107">
        <f>Tabell23[[#This Row],[NOK]]*Tabell23[[#This Row],[QTY]]</f>
        <v>0</v>
      </c>
      <c r="J482" s="107">
        <f>Tabell23[[#This Row],[EURO]]*Tabell23[[#This Row],[QTY]]</f>
        <v>0</v>
      </c>
      <c r="K482" s="148"/>
    </row>
    <row r="483" spans="1:11" outlineLevel="1" x14ac:dyDescent="0.25">
      <c r="A483" s="138">
        <v>28</v>
      </c>
      <c r="B483" s="118">
        <v>11032</v>
      </c>
      <c r="C483" s="121" t="s">
        <v>415</v>
      </c>
      <c r="D483" s="99"/>
      <c r="E483" s="123" t="s">
        <v>24</v>
      </c>
      <c r="F483" s="121">
        <v>24</v>
      </c>
      <c r="G483" s="139">
        <v>25</v>
      </c>
      <c r="H483" s="106">
        <f t="shared" si="21"/>
        <v>2.125</v>
      </c>
      <c r="I483" s="107">
        <f>Tabell23[[#This Row],[NOK]]*Tabell23[[#This Row],[QTY]]</f>
        <v>0</v>
      </c>
      <c r="J483" s="107">
        <f>Tabell23[[#This Row],[EURO]]*Tabell23[[#This Row],[QTY]]</f>
        <v>0</v>
      </c>
      <c r="K483" s="148"/>
    </row>
    <row r="484" spans="1:11" outlineLevel="1" x14ac:dyDescent="0.25">
      <c r="A484" s="138">
        <v>29</v>
      </c>
      <c r="B484" s="118">
        <v>11002</v>
      </c>
      <c r="C484" s="121" t="s">
        <v>416</v>
      </c>
      <c r="D484" s="99"/>
      <c r="E484" s="123" t="s">
        <v>24</v>
      </c>
      <c r="F484" s="121">
        <v>24</v>
      </c>
      <c r="G484" s="139">
        <v>25</v>
      </c>
      <c r="H484" s="106">
        <f t="shared" si="21"/>
        <v>2.125</v>
      </c>
      <c r="I484" s="107">
        <f>Tabell23[[#This Row],[NOK]]*Tabell23[[#This Row],[QTY]]</f>
        <v>0</v>
      </c>
      <c r="J484" s="107">
        <f>Tabell23[[#This Row],[EURO]]*Tabell23[[#This Row],[QTY]]</f>
        <v>0</v>
      </c>
      <c r="K484" s="148"/>
    </row>
    <row r="485" spans="1:11" outlineLevel="1" x14ac:dyDescent="0.25">
      <c r="A485" s="138">
        <v>32</v>
      </c>
      <c r="B485" s="118">
        <v>11113</v>
      </c>
      <c r="C485" s="121" t="s">
        <v>417</v>
      </c>
      <c r="D485" s="99"/>
      <c r="E485" s="123" t="s">
        <v>24</v>
      </c>
      <c r="F485" s="121">
        <v>24</v>
      </c>
      <c r="G485" s="139">
        <v>25</v>
      </c>
      <c r="H485" s="106">
        <f t="shared" si="21"/>
        <v>2.125</v>
      </c>
      <c r="I485" s="107">
        <f>Tabell23[[#This Row],[NOK]]*Tabell23[[#This Row],[QTY]]</f>
        <v>0</v>
      </c>
      <c r="J485" s="107">
        <f>Tabell23[[#This Row],[EURO]]*Tabell23[[#This Row],[QTY]]</f>
        <v>0</v>
      </c>
      <c r="K485" s="148"/>
    </row>
    <row r="486" spans="1:11" outlineLevel="1" x14ac:dyDescent="0.25">
      <c r="A486" s="138">
        <v>35</v>
      </c>
      <c r="B486" s="118">
        <v>23790</v>
      </c>
      <c r="C486" s="121" t="s">
        <v>418</v>
      </c>
      <c r="D486" s="99"/>
      <c r="E486" s="123" t="s">
        <v>24</v>
      </c>
      <c r="F486" s="121">
        <v>24</v>
      </c>
      <c r="G486" s="139">
        <v>15</v>
      </c>
      <c r="H486" s="106">
        <f t="shared" si="21"/>
        <v>1.2750000000000001</v>
      </c>
      <c r="I486" s="107">
        <f>Tabell23[[#This Row],[NOK]]*Tabell23[[#This Row],[QTY]]</f>
        <v>0</v>
      </c>
      <c r="J486" s="107">
        <f>Tabell23[[#This Row],[EURO]]*Tabell23[[#This Row],[QTY]]</f>
        <v>0</v>
      </c>
      <c r="K486" s="148"/>
    </row>
    <row r="487" spans="1:11" outlineLevel="1" x14ac:dyDescent="0.25">
      <c r="A487" s="138">
        <v>36</v>
      </c>
      <c r="B487" s="118">
        <v>11107</v>
      </c>
      <c r="C487" s="121" t="s">
        <v>419</v>
      </c>
      <c r="D487" s="99"/>
      <c r="E487" s="123" t="s">
        <v>24</v>
      </c>
      <c r="F487" s="121">
        <v>24</v>
      </c>
      <c r="G487" s="139">
        <v>15</v>
      </c>
      <c r="H487" s="106">
        <f t="shared" si="21"/>
        <v>1.2750000000000001</v>
      </c>
      <c r="I487" s="107">
        <f>Tabell23[[#This Row],[NOK]]*Tabell23[[#This Row],[QTY]]</f>
        <v>0</v>
      </c>
      <c r="J487" s="107">
        <f>Tabell23[[#This Row],[EURO]]*Tabell23[[#This Row],[QTY]]</f>
        <v>0</v>
      </c>
      <c r="K487" s="148"/>
    </row>
    <row r="488" spans="1:11" outlineLevel="1" x14ac:dyDescent="0.25">
      <c r="A488" s="138">
        <v>37</v>
      </c>
      <c r="B488" s="118"/>
      <c r="C488" s="121" t="s">
        <v>61</v>
      </c>
      <c r="D488" s="99"/>
      <c r="E488" s="123"/>
      <c r="F488" s="121"/>
      <c r="G488" s="139"/>
      <c r="H488" s="106">
        <f t="shared" si="21"/>
        <v>0</v>
      </c>
      <c r="I488" s="107">
        <f>Tabell23[[#This Row],[NOK]]*Tabell23[[#This Row],[QTY]]</f>
        <v>0</v>
      </c>
      <c r="J488" s="107">
        <f>Tabell23[[#This Row],[EURO]]*Tabell23[[#This Row],[QTY]]</f>
        <v>0</v>
      </c>
      <c r="K488" s="148"/>
    </row>
    <row r="489" spans="1:11" outlineLevel="1" x14ac:dyDescent="0.25">
      <c r="A489" s="138">
        <v>38</v>
      </c>
      <c r="B489" s="118"/>
      <c r="C489" s="121" t="s">
        <v>61</v>
      </c>
      <c r="D489" s="176"/>
      <c r="E489" s="123"/>
      <c r="F489" s="121"/>
      <c r="G489" s="139"/>
      <c r="H489" s="106">
        <f>G489*$N$1</f>
        <v>0</v>
      </c>
      <c r="I489" s="107">
        <f>Tabell23[[#This Row],[NOK]]*Tabell23[[#This Row],[QTY]]</f>
        <v>0</v>
      </c>
      <c r="J489" s="107">
        <f>Tabell23[[#This Row],[EURO]]*Tabell23[[#This Row],[QTY]]</f>
        <v>0</v>
      </c>
      <c r="K489" s="148"/>
    </row>
    <row r="490" spans="1:11" outlineLevel="1" x14ac:dyDescent="0.25">
      <c r="A490" s="138">
        <v>39</v>
      </c>
      <c r="B490" s="118"/>
      <c r="C490" s="121" t="s">
        <v>61</v>
      </c>
      <c r="D490" s="99"/>
      <c r="E490" s="123"/>
      <c r="F490" s="121"/>
      <c r="G490" s="139"/>
      <c r="H490" s="106">
        <f t="shared" si="21"/>
        <v>0</v>
      </c>
      <c r="I490" s="107">
        <f>Tabell23[[#This Row],[NOK]]*Tabell23[[#This Row],[QTY]]</f>
        <v>0</v>
      </c>
      <c r="J490" s="107">
        <f>Tabell23[[#This Row],[EURO]]*Tabell23[[#This Row],[QTY]]</f>
        <v>0</v>
      </c>
      <c r="K490" s="148"/>
    </row>
    <row r="491" spans="1:11" outlineLevel="1" x14ac:dyDescent="0.25">
      <c r="A491" s="138">
        <v>40</v>
      </c>
      <c r="B491" s="118"/>
      <c r="C491" s="121" t="s">
        <v>61</v>
      </c>
      <c r="D491" s="99"/>
      <c r="E491" s="123"/>
      <c r="F491" s="121"/>
      <c r="G491" s="139"/>
      <c r="H491" s="106">
        <f t="shared" si="21"/>
        <v>0</v>
      </c>
      <c r="I491" s="107">
        <f>Tabell23[[#This Row],[NOK]]*Tabell23[[#This Row],[QTY]]</f>
        <v>0</v>
      </c>
      <c r="J491" s="107">
        <f>Tabell23[[#This Row],[EURO]]*Tabell23[[#This Row],[QTY]]</f>
        <v>0</v>
      </c>
      <c r="K491" s="148"/>
    </row>
    <row r="492" spans="1:11" x14ac:dyDescent="0.25">
      <c r="A492" s="138">
        <v>41</v>
      </c>
      <c r="B492" s="118"/>
      <c r="C492" s="121" t="s">
        <v>61</v>
      </c>
      <c r="D492" s="99"/>
      <c r="E492" s="123"/>
      <c r="F492" s="121"/>
      <c r="G492" s="139"/>
      <c r="H492" s="106">
        <f t="shared" si="21"/>
        <v>0</v>
      </c>
      <c r="I492" s="107">
        <f>Tabell23[[#This Row],[NOK]]*Tabell23[[#This Row],[QTY]]</f>
        <v>0</v>
      </c>
      <c r="J492" s="107">
        <f>Tabell23[[#This Row],[EURO]]*Tabell23[[#This Row],[QTY]]</f>
        <v>0</v>
      </c>
      <c r="K492" s="148"/>
    </row>
    <row r="493" spans="1:11" x14ac:dyDescent="0.25">
      <c r="D493" s="100"/>
      <c r="I493" s="68">
        <f>SUBTOTAL(109,Tabell23[TOT NOK])</f>
        <v>0</v>
      </c>
      <c r="J493" s="68">
        <f>SUBTOTAL(109,Tabell23[TOT EUR])</f>
        <v>0</v>
      </c>
    </row>
    <row r="494" spans="1:11" ht="18.75" x14ac:dyDescent="0.3">
      <c r="C494" s="189" t="s">
        <v>432</v>
      </c>
      <c r="I494" s="188">
        <f>I493+I457+I420+I394+I325+I237+I206+I178+I147+I59</f>
        <v>0</v>
      </c>
      <c r="J494" s="188">
        <f>J493+J457+J420+J394+J325+J237+J206+J178+J147+J59</f>
        <v>0</v>
      </c>
    </row>
    <row r="495" spans="1:11" ht="18.75" x14ac:dyDescent="0.3">
      <c r="A495" s="202" t="s">
        <v>420</v>
      </c>
      <c r="B495" s="202"/>
      <c r="C495" s="202"/>
      <c r="D495" s="202"/>
      <c r="E495" s="202"/>
      <c r="F495" s="202"/>
      <c r="G495" s="202"/>
      <c r="H495" s="202"/>
      <c r="I495" s="202"/>
      <c r="J495" s="202"/>
    </row>
    <row r="496" spans="1:11" outlineLevel="1" x14ac:dyDescent="0.25">
      <c r="A496" s="96" t="s">
        <v>6</v>
      </c>
      <c r="B496" s="96" t="s">
        <v>7</v>
      </c>
      <c r="C496" s="96" t="s">
        <v>8</v>
      </c>
      <c r="D496" s="96" t="s">
        <v>16</v>
      </c>
      <c r="E496" s="149" t="s">
        <v>10</v>
      </c>
      <c r="F496" s="149" t="s">
        <v>17</v>
      </c>
      <c r="G496" s="149" t="s">
        <v>18</v>
      </c>
      <c r="H496" s="149" t="s">
        <v>19</v>
      </c>
      <c r="I496" s="149" t="s">
        <v>20</v>
      </c>
      <c r="J496" s="149" t="s">
        <v>21</v>
      </c>
      <c r="K496" s="144" t="s">
        <v>22</v>
      </c>
    </row>
    <row r="497" spans="1:11" outlineLevel="1" x14ac:dyDescent="0.25">
      <c r="A497" s="98">
        <v>1</v>
      </c>
      <c r="B497" s="98"/>
      <c r="C497" s="90"/>
      <c r="D497" s="101"/>
      <c r="E497" s="94"/>
      <c r="F497" s="90"/>
      <c r="G497" s="90"/>
      <c r="H497" s="90"/>
      <c r="I497" s="102"/>
      <c r="J497" s="102"/>
      <c r="K497" s="143"/>
    </row>
    <row r="498" spans="1:11" outlineLevel="1" x14ac:dyDescent="0.25">
      <c r="A498" s="98">
        <v>2</v>
      </c>
      <c r="B498" s="98"/>
      <c r="C498" s="90"/>
      <c r="D498" s="101"/>
      <c r="E498" s="94"/>
      <c r="F498" s="90"/>
      <c r="G498" s="90"/>
      <c r="H498" s="90"/>
      <c r="I498" s="102"/>
      <c r="J498" s="102"/>
      <c r="K498" s="143"/>
    </row>
    <row r="499" spans="1:11" outlineLevel="1" x14ac:dyDescent="0.25">
      <c r="A499" s="98">
        <v>3</v>
      </c>
      <c r="B499" s="98"/>
      <c r="C499" s="90"/>
      <c r="D499" s="101"/>
      <c r="E499" s="94"/>
      <c r="F499" s="90"/>
      <c r="G499" s="90"/>
      <c r="H499" s="90"/>
      <c r="I499" s="102"/>
      <c r="J499" s="102"/>
      <c r="K499" s="143"/>
    </row>
    <row r="500" spans="1:11" outlineLevel="1" x14ac:dyDescent="0.25">
      <c r="A500" s="98">
        <v>4</v>
      </c>
      <c r="B500" s="98"/>
      <c r="C500" s="90"/>
      <c r="D500" s="101"/>
      <c r="E500" s="94"/>
      <c r="F500" s="90"/>
      <c r="G500" s="90"/>
      <c r="H500" s="90"/>
      <c r="I500" s="102"/>
      <c r="J500" s="102"/>
      <c r="K500" s="143"/>
    </row>
    <row r="501" spans="1:11" outlineLevel="1" x14ac:dyDescent="0.25">
      <c r="A501" s="98">
        <v>5</v>
      </c>
      <c r="B501" s="98"/>
      <c r="C501" s="90"/>
      <c r="D501" s="101"/>
      <c r="E501" s="94"/>
      <c r="F501" s="90"/>
      <c r="G501" s="90"/>
      <c r="H501" s="90"/>
      <c r="I501" s="102"/>
      <c r="J501" s="102"/>
      <c r="K501" s="143"/>
    </row>
    <row r="502" spans="1:11" outlineLevel="1" x14ac:dyDescent="0.25">
      <c r="A502" s="98">
        <v>6</v>
      </c>
      <c r="B502" s="98"/>
      <c r="C502" s="90"/>
      <c r="D502" s="101"/>
      <c r="E502" s="94"/>
      <c r="F502" s="90"/>
      <c r="G502" s="90"/>
      <c r="H502" s="90"/>
      <c r="I502" s="102"/>
      <c r="J502" s="102"/>
      <c r="K502" s="143"/>
    </row>
    <row r="503" spans="1:11" outlineLevel="1" x14ac:dyDescent="0.25">
      <c r="A503" s="98">
        <v>7</v>
      </c>
      <c r="B503" s="98"/>
      <c r="C503" s="90"/>
      <c r="D503" s="101"/>
      <c r="E503" s="94"/>
      <c r="F503" s="90"/>
      <c r="G503" s="90"/>
      <c r="H503" s="90"/>
      <c r="I503" s="102"/>
      <c r="J503" s="102"/>
      <c r="K503" s="143"/>
    </row>
    <row r="504" spans="1:11" outlineLevel="1" x14ac:dyDescent="0.25">
      <c r="A504" s="98">
        <v>8</v>
      </c>
      <c r="B504" s="98"/>
      <c r="C504" s="90"/>
      <c r="D504" s="101"/>
      <c r="E504" s="94"/>
      <c r="F504" s="90"/>
      <c r="G504" s="90"/>
      <c r="H504" s="90"/>
      <c r="I504" s="102"/>
      <c r="J504" s="102"/>
      <c r="K504" s="143"/>
    </row>
    <row r="505" spans="1:11" outlineLevel="1" x14ac:dyDescent="0.25">
      <c r="A505" s="98">
        <v>9</v>
      </c>
      <c r="B505" s="98"/>
      <c r="C505" s="90"/>
      <c r="D505" s="101"/>
      <c r="E505" s="94"/>
      <c r="F505" s="90"/>
      <c r="G505" s="90"/>
      <c r="H505" s="90"/>
      <c r="I505" s="102"/>
      <c r="J505" s="102"/>
      <c r="K505" s="143"/>
    </row>
    <row r="506" spans="1:11" outlineLevel="1" x14ac:dyDescent="0.25">
      <c r="A506" s="98">
        <v>10</v>
      </c>
      <c r="B506" s="98"/>
      <c r="C506" s="90"/>
      <c r="D506" s="101"/>
      <c r="E506" s="94"/>
      <c r="F506" s="90"/>
      <c r="G506" s="90"/>
      <c r="H506" s="90"/>
      <c r="I506" s="102"/>
      <c r="J506" s="102"/>
      <c r="K506" s="143"/>
    </row>
    <row r="507" spans="1:11" outlineLevel="1" x14ac:dyDescent="0.25">
      <c r="A507" s="98">
        <v>11</v>
      </c>
      <c r="B507" s="98"/>
      <c r="C507" s="90"/>
      <c r="D507" s="101"/>
      <c r="E507" s="94"/>
      <c r="F507" s="90"/>
      <c r="G507" s="90"/>
      <c r="H507" s="90"/>
      <c r="I507" s="102"/>
      <c r="J507" s="102"/>
      <c r="K507" s="143"/>
    </row>
    <row r="508" spans="1:11" outlineLevel="1" x14ac:dyDescent="0.25">
      <c r="A508" s="98">
        <v>12</v>
      </c>
      <c r="B508" s="98"/>
      <c r="C508" s="90"/>
      <c r="D508" s="101"/>
      <c r="E508" s="94"/>
      <c r="F508" s="90"/>
      <c r="G508" s="90"/>
      <c r="H508" s="90"/>
      <c r="I508" s="102"/>
      <c r="J508" s="102"/>
      <c r="K508" s="143"/>
    </row>
    <row r="509" spans="1:11" outlineLevel="1" x14ac:dyDescent="0.25">
      <c r="A509" s="98">
        <v>13</v>
      </c>
      <c r="B509" s="98"/>
      <c r="C509" s="90"/>
      <c r="D509" s="101"/>
      <c r="E509" s="94"/>
      <c r="F509" s="90"/>
      <c r="G509" s="90"/>
      <c r="H509" s="90"/>
      <c r="I509" s="102"/>
      <c r="J509" s="102"/>
      <c r="K509" s="143"/>
    </row>
    <row r="510" spans="1:11" outlineLevel="1" x14ac:dyDescent="0.25">
      <c r="A510" s="98">
        <v>14</v>
      </c>
      <c r="B510" s="98"/>
      <c r="C510" s="90"/>
      <c r="D510" s="101"/>
      <c r="E510" s="94"/>
      <c r="F510" s="90"/>
      <c r="G510" s="90"/>
      <c r="H510" s="90"/>
      <c r="I510" s="102"/>
      <c r="J510" s="102"/>
      <c r="K510" s="143"/>
    </row>
    <row r="511" spans="1:11" outlineLevel="1" x14ac:dyDescent="0.25">
      <c r="A511" s="98">
        <v>15</v>
      </c>
      <c r="B511" s="98"/>
      <c r="C511" s="90"/>
      <c r="D511" s="101"/>
      <c r="E511" s="94"/>
      <c r="F511" s="90"/>
      <c r="G511" s="90"/>
      <c r="H511" s="90"/>
      <c r="I511" s="102"/>
      <c r="J511" s="102"/>
      <c r="K511" s="143"/>
    </row>
    <row r="512" spans="1:11" outlineLevel="1" x14ac:dyDescent="0.25">
      <c r="A512" s="98">
        <v>16</v>
      </c>
      <c r="B512" s="98"/>
      <c r="C512" s="90"/>
      <c r="D512" s="101"/>
      <c r="E512" s="94"/>
      <c r="F512" s="90"/>
      <c r="G512" s="90"/>
      <c r="H512" s="90"/>
      <c r="I512" s="102"/>
      <c r="J512" s="102"/>
      <c r="K512" s="143"/>
    </row>
    <row r="513" spans="1:11" outlineLevel="1" x14ac:dyDescent="0.25">
      <c r="A513" s="98">
        <v>17</v>
      </c>
      <c r="B513" s="98"/>
      <c r="C513" s="90"/>
      <c r="D513" s="101"/>
      <c r="E513" s="94"/>
      <c r="F513" s="90"/>
      <c r="G513" s="90"/>
      <c r="H513" s="90"/>
      <c r="I513" s="102"/>
      <c r="J513" s="102"/>
      <c r="K513" s="143"/>
    </row>
    <row r="514" spans="1:11" outlineLevel="1" x14ac:dyDescent="0.25">
      <c r="A514" s="98">
        <v>18</v>
      </c>
      <c r="B514" s="98"/>
      <c r="C514" s="90"/>
      <c r="D514" s="101"/>
      <c r="E514" s="94"/>
      <c r="F514" s="90"/>
      <c r="G514" s="90"/>
      <c r="H514" s="90"/>
      <c r="I514" s="102"/>
      <c r="J514" s="102"/>
      <c r="K514" s="143"/>
    </row>
    <row r="515" spans="1:11" outlineLevel="1" x14ac:dyDescent="0.25">
      <c r="A515" s="98">
        <v>19</v>
      </c>
      <c r="B515" s="98"/>
      <c r="C515" s="90"/>
      <c r="D515" s="101"/>
      <c r="E515" s="94"/>
      <c r="F515" s="90"/>
      <c r="G515" s="90"/>
      <c r="H515" s="90"/>
      <c r="I515" s="102"/>
      <c r="J515" s="102"/>
      <c r="K515" s="143"/>
    </row>
    <row r="516" spans="1:11" outlineLevel="1" x14ac:dyDescent="0.25">
      <c r="A516" s="98">
        <v>20</v>
      </c>
      <c r="B516" s="98"/>
      <c r="C516" s="90"/>
      <c r="D516" s="101"/>
      <c r="E516" s="94"/>
      <c r="F516" s="90"/>
      <c r="G516" s="90"/>
      <c r="H516" s="90"/>
      <c r="I516" s="102"/>
      <c r="J516" s="102"/>
      <c r="K516" s="143"/>
    </row>
    <row r="517" spans="1:11" outlineLevel="1" x14ac:dyDescent="0.25">
      <c r="A517" s="98">
        <v>21</v>
      </c>
      <c r="B517" s="98"/>
      <c r="C517" s="90"/>
      <c r="D517" s="101"/>
      <c r="E517" s="94"/>
      <c r="F517" s="90"/>
      <c r="G517" s="90"/>
      <c r="H517" s="90"/>
      <c r="I517" s="102"/>
      <c r="J517" s="102"/>
      <c r="K517" s="143"/>
    </row>
    <row r="518" spans="1:11" outlineLevel="1" x14ac:dyDescent="0.25">
      <c r="A518" s="98">
        <v>22</v>
      </c>
      <c r="B518" s="98"/>
      <c r="C518" s="90"/>
      <c r="D518" s="101"/>
      <c r="E518" s="94"/>
      <c r="F518" s="90"/>
      <c r="G518" s="90"/>
      <c r="H518" s="90"/>
      <c r="I518" s="102"/>
      <c r="J518" s="102"/>
      <c r="K518" s="143"/>
    </row>
    <row r="519" spans="1:11" outlineLevel="1" x14ac:dyDescent="0.25">
      <c r="A519" s="98">
        <v>23</v>
      </c>
      <c r="B519" s="98"/>
      <c r="C519" s="90"/>
      <c r="D519" s="101"/>
      <c r="E519" s="94"/>
      <c r="F519" s="90"/>
      <c r="G519" s="90"/>
      <c r="H519" s="90"/>
      <c r="I519" s="102"/>
      <c r="J519" s="102"/>
      <c r="K519" s="143"/>
    </row>
    <row r="520" spans="1:11" outlineLevel="1" x14ac:dyDescent="0.25">
      <c r="A520" s="98">
        <v>24</v>
      </c>
      <c r="B520" s="98"/>
      <c r="C520" s="90"/>
      <c r="D520" s="101"/>
      <c r="E520" s="94"/>
      <c r="F520" s="90"/>
      <c r="G520" s="90"/>
      <c r="H520" s="90"/>
      <c r="I520" s="102"/>
      <c r="J520" s="102"/>
      <c r="K520" s="143"/>
    </row>
    <row r="521" spans="1:11" outlineLevel="1" x14ac:dyDescent="0.25">
      <c r="A521" s="98">
        <v>25</v>
      </c>
      <c r="B521" s="98"/>
      <c r="C521" s="90"/>
      <c r="D521" s="101"/>
      <c r="E521" s="94"/>
      <c r="F521" s="90"/>
      <c r="G521" s="90"/>
      <c r="H521" s="90"/>
      <c r="I521" s="102"/>
      <c r="J521" s="102"/>
      <c r="K521" s="143"/>
    </row>
    <row r="522" spans="1:11" outlineLevel="1" x14ac:dyDescent="0.25">
      <c r="A522" s="98">
        <v>26</v>
      </c>
      <c r="B522" s="98"/>
      <c r="C522" s="90"/>
      <c r="D522" s="101"/>
      <c r="E522" s="94"/>
      <c r="F522" s="90"/>
      <c r="G522" s="90"/>
      <c r="H522" s="90"/>
      <c r="I522" s="102"/>
      <c r="J522" s="102"/>
      <c r="K522" s="143"/>
    </row>
    <row r="523" spans="1:11" outlineLevel="1" x14ac:dyDescent="0.25">
      <c r="A523" s="98">
        <v>27</v>
      </c>
      <c r="B523" s="98"/>
      <c r="C523" s="90"/>
      <c r="D523" s="101"/>
      <c r="E523" s="94"/>
      <c r="F523" s="90"/>
      <c r="G523" s="90"/>
      <c r="H523" s="90"/>
      <c r="I523" s="102"/>
      <c r="J523" s="102"/>
      <c r="K523" s="143"/>
    </row>
    <row r="524" spans="1:11" outlineLevel="1" x14ac:dyDescent="0.25">
      <c r="A524" s="98">
        <v>28</v>
      </c>
      <c r="B524" s="98"/>
      <c r="C524" s="90"/>
      <c r="D524" s="101"/>
      <c r="E524" s="94"/>
      <c r="F524" s="90"/>
      <c r="G524" s="90"/>
      <c r="H524" s="90"/>
      <c r="I524" s="102"/>
      <c r="J524" s="102"/>
      <c r="K524" s="143"/>
    </row>
    <row r="525" spans="1:11" outlineLevel="1" x14ac:dyDescent="0.25">
      <c r="A525" s="98">
        <v>29</v>
      </c>
      <c r="B525" s="98"/>
      <c r="C525" s="90"/>
      <c r="D525" s="101"/>
      <c r="E525" s="94"/>
      <c r="F525" s="90"/>
      <c r="G525" s="90"/>
      <c r="H525" s="90"/>
      <c r="I525" s="102"/>
      <c r="J525" s="102"/>
      <c r="K525" s="143"/>
    </row>
    <row r="526" spans="1:11" outlineLevel="1" x14ac:dyDescent="0.25">
      <c r="A526" s="98">
        <v>30</v>
      </c>
      <c r="B526" s="98"/>
      <c r="C526" s="90"/>
      <c r="D526" s="101"/>
      <c r="E526" s="94"/>
      <c r="F526" s="90"/>
      <c r="G526" s="90"/>
      <c r="H526" s="90"/>
      <c r="I526" s="102"/>
      <c r="J526" s="102"/>
      <c r="K526" s="143"/>
    </row>
    <row r="527" spans="1:11" outlineLevel="1" x14ac:dyDescent="0.25">
      <c r="A527" s="98">
        <v>31</v>
      </c>
      <c r="B527" s="98"/>
      <c r="C527" s="90"/>
      <c r="D527" s="101"/>
      <c r="E527" s="94"/>
      <c r="F527" s="90"/>
      <c r="G527" s="90"/>
      <c r="H527" s="90"/>
      <c r="I527" s="102"/>
      <c r="J527" s="102"/>
      <c r="K527" s="143"/>
    </row>
    <row r="528" spans="1:11" outlineLevel="1" x14ac:dyDescent="0.25">
      <c r="A528" s="98">
        <v>32</v>
      </c>
      <c r="B528" s="98"/>
      <c r="C528" s="90"/>
      <c r="D528" s="101"/>
      <c r="E528" s="94"/>
      <c r="F528" s="90"/>
      <c r="G528" s="90"/>
      <c r="H528" s="90"/>
      <c r="I528" s="102"/>
      <c r="J528" s="102"/>
      <c r="K528" s="143"/>
    </row>
    <row r="529" spans="1:11" outlineLevel="1" x14ac:dyDescent="0.25">
      <c r="A529" s="98">
        <v>33</v>
      </c>
      <c r="B529" s="98"/>
      <c r="C529" s="90"/>
      <c r="D529" s="101"/>
      <c r="E529" s="94"/>
      <c r="F529" s="90"/>
      <c r="G529" s="90"/>
      <c r="H529" s="90"/>
      <c r="I529" s="102"/>
      <c r="J529" s="102"/>
      <c r="K529" s="143"/>
    </row>
    <row r="530" spans="1:11" outlineLevel="1" x14ac:dyDescent="0.25">
      <c r="A530" s="98">
        <v>34</v>
      </c>
      <c r="B530" s="98"/>
      <c r="C530" s="90"/>
      <c r="D530" s="101"/>
      <c r="E530" s="94"/>
      <c r="F530" s="90"/>
      <c r="G530" s="90"/>
      <c r="H530" s="90"/>
      <c r="I530" s="102"/>
      <c r="J530" s="102"/>
      <c r="K530" s="143"/>
    </row>
    <row r="531" spans="1:11" outlineLevel="1" x14ac:dyDescent="0.25">
      <c r="A531" s="98">
        <v>35</v>
      </c>
      <c r="B531" s="98"/>
      <c r="C531" s="90"/>
      <c r="D531" s="101"/>
      <c r="E531" s="94"/>
      <c r="F531" s="90"/>
      <c r="G531" s="90"/>
      <c r="H531" s="90"/>
      <c r="I531" s="102"/>
      <c r="J531" s="102"/>
      <c r="K531" s="143"/>
    </row>
    <row r="532" spans="1:11" outlineLevel="1" x14ac:dyDescent="0.25">
      <c r="A532" s="98">
        <v>36</v>
      </c>
      <c r="B532" s="98"/>
      <c r="C532" s="90"/>
      <c r="D532" s="101"/>
      <c r="E532" s="94"/>
      <c r="F532" s="90"/>
      <c r="G532" s="90"/>
      <c r="H532" s="90"/>
      <c r="I532" s="102"/>
      <c r="J532" s="102"/>
      <c r="K532" s="143"/>
    </row>
    <row r="533" spans="1:11" outlineLevel="1" x14ac:dyDescent="0.25">
      <c r="A533" s="98">
        <v>37</v>
      </c>
      <c r="B533" s="98"/>
      <c r="C533" s="90"/>
      <c r="D533" s="101"/>
      <c r="E533" s="94"/>
      <c r="F533" s="90"/>
      <c r="G533" s="90"/>
      <c r="H533" s="90"/>
      <c r="I533" s="102"/>
      <c r="J533" s="102"/>
      <c r="K533" s="143"/>
    </row>
    <row r="534" spans="1:11" outlineLevel="1" x14ac:dyDescent="0.25">
      <c r="A534" s="98">
        <v>38</v>
      </c>
      <c r="B534" s="98"/>
      <c r="C534" s="90"/>
      <c r="D534" s="101"/>
      <c r="E534" s="94"/>
      <c r="F534" s="90"/>
      <c r="G534" s="90"/>
      <c r="H534" s="90"/>
      <c r="I534" s="102"/>
      <c r="J534" s="102"/>
      <c r="K534" s="143"/>
    </row>
    <row r="535" spans="1:11" outlineLevel="1" x14ac:dyDescent="0.25">
      <c r="A535" s="98">
        <v>39</v>
      </c>
      <c r="B535" s="98"/>
      <c r="C535" s="90"/>
      <c r="D535" s="101"/>
      <c r="E535" s="94"/>
      <c r="F535" s="90"/>
      <c r="G535" s="90"/>
      <c r="H535" s="90"/>
      <c r="I535" s="102"/>
      <c r="J535" s="102"/>
      <c r="K535" s="143"/>
    </row>
    <row r="536" spans="1:11" outlineLevel="1" x14ac:dyDescent="0.25">
      <c r="A536" s="98">
        <v>40</v>
      </c>
      <c r="B536" s="98"/>
      <c r="C536" s="90"/>
      <c r="D536" s="101"/>
      <c r="E536" s="94"/>
      <c r="F536" s="90"/>
      <c r="G536" s="90"/>
      <c r="H536" s="90"/>
      <c r="I536" s="102"/>
      <c r="J536" s="102"/>
      <c r="K536" s="143"/>
    </row>
    <row r="537" spans="1:11" outlineLevel="1" x14ac:dyDescent="0.25">
      <c r="A537" s="98">
        <v>41</v>
      </c>
      <c r="B537" s="98"/>
      <c r="C537" s="90"/>
      <c r="D537" s="101"/>
      <c r="E537" s="94"/>
      <c r="F537" s="90"/>
      <c r="G537" s="90"/>
      <c r="H537" s="90"/>
      <c r="I537" s="102"/>
      <c r="J537" s="102"/>
      <c r="K537" s="143"/>
    </row>
    <row r="538" spans="1:11" outlineLevel="1" x14ac:dyDescent="0.25">
      <c r="A538" s="98">
        <v>42</v>
      </c>
      <c r="B538" s="98"/>
      <c r="C538" s="90"/>
      <c r="D538" s="101"/>
      <c r="E538" s="94"/>
      <c r="F538" s="90"/>
      <c r="G538" s="90"/>
      <c r="H538" s="90"/>
      <c r="I538" s="102"/>
      <c r="J538" s="102"/>
      <c r="K538" s="143"/>
    </row>
    <row r="539" spans="1:11" outlineLevel="1" x14ac:dyDescent="0.25">
      <c r="A539" s="98">
        <v>43</v>
      </c>
      <c r="B539" s="98"/>
      <c r="C539" s="90"/>
      <c r="D539" s="101"/>
      <c r="E539" s="94"/>
      <c r="F539" s="90"/>
      <c r="G539" s="90"/>
      <c r="H539" s="90"/>
      <c r="I539" s="102"/>
      <c r="J539" s="102"/>
      <c r="K539" s="143"/>
    </row>
    <row r="540" spans="1:11" outlineLevel="1" x14ac:dyDescent="0.25">
      <c r="A540" s="98">
        <v>44</v>
      </c>
      <c r="B540" s="98"/>
      <c r="C540" s="90"/>
      <c r="D540" s="101"/>
      <c r="E540" s="94"/>
      <c r="F540" s="90"/>
      <c r="G540" s="90"/>
      <c r="H540" s="90"/>
      <c r="I540" s="102"/>
      <c r="J540" s="102"/>
      <c r="K540" s="143"/>
    </row>
    <row r="541" spans="1:11" outlineLevel="1" x14ac:dyDescent="0.25">
      <c r="A541" s="98">
        <v>45</v>
      </c>
      <c r="B541" s="98"/>
      <c r="C541" s="90"/>
      <c r="D541" s="101"/>
      <c r="E541" s="94"/>
      <c r="F541" s="90"/>
      <c r="G541" s="90"/>
      <c r="H541" s="90"/>
      <c r="I541" s="102"/>
      <c r="J541" s="102"/>
      <c r="K541" s="143"/>
    </row>
    <row r="542" spans="1:11" outlineLevel="1" x14ac:dyDescent="0.25">
      <c r="A542" s="98">
        <v>46</v>
      </c>
      <c r="B542" s="98"/>
      <c r="C542" s="90"/>
      <c r="D542" s="101"/>
      <c r="E542" s="94"/>
      <c r="F542" s="90"/>
      <c r="G542" s="90"/>
      <c r="H542" s="90"/>
      <c r="I542" s="102"/>
      <c r="J542" s="102"/>
      <c r="K542" s="143"/>
    </row>
    <row r="543" spans="1:11" outlineLevel="1" x14ac:dyDescent="0.25">
      <c r="A543" s="98">
        <v>47</v>
      </c>
      <c r="B543" s="98"/>
      <c r="C543" s="90"/>
      <c r="D543" s="101"/>
      <c r="E543" s="94"/>
      <c r="F543" s="90"/>
      <c r="G543" s="90"/>
      <c r="H543" s="90"/>
      <c r="I543" s="102"/>
      <c r="J543" s="102"/>
      <c r="K543" s="143"/>
    </row>
    <row r="544" spans="1:11" outlineLevel="1" x14ac:dyDescent="0.25">
      <c r="A544" s="98">
        <v>48</v>
      </c>
      <c r="B544" s="98"/>
      <c r="C544" s="90"/>
      <c r="D544" s="101"/>
      <c r="E544" s="94"/>
      <c r="F544" s="90"/>
      <c r="G544" s="90"/>
      <c r="H544" s="90"/>
      <c r="I544" s="102"/>
      <c r="J544" s="102"/>
      <c r="K544" s="143"/>
    </row>
    <row r="545" spans="1:11" outlineLevel="1" x14ac:dyDescent="0.25">
      <c r="A545" s="98">
        <v>49</v>
      </c>
      <c r="B545" s="98"/>
      <c r="C545" s="90"/>
      <c r="D545" s="101"/>
      <c r="E545" s="94"/>
      <c r="F545" s="90"/>
      <c r="G545" s="90"/>
      <c r="H545" s="90"/>
      <c r="I545" s="102"/>
      <c r="J545" s="102"/>
      <c r="K545" s="143"/>
    </row>
    <row r="546" spans="1:11" x14ac:dyDescent="0.25">
      <c r="A546" s="98">
        <v>50</v>
      </c>
      <c r="B546" s="98"/>
      <c r="C546" s="90"/>
      <c r="D546" s="101"/>
      <c r="E546" s="94"/>
      <c r="F546" s="90"/>
      <c r="G546" s="90"/>
      <c r="H546" s="90"/>
      <c r="I546" s="102"/>
      <c r="J546" s="102"/>
      <c r="K546" s="143"/>
    </row>
  </sheetData>
  <sheetProtection algorithmName="SHA-512" hashValue="7c7clPQWV+5NkUlbE8PjK0wmZMYk6fsNF8An/ExzsJ8ngHBsFC0am8y1aoEHJVw/st3paSclBcII7LNNFdGFbg==" saltValue="sDcRbVHc2+DJtnCUDQoFiA==" spinCount="100000" sheet="1"/>
  <protectedRanges>
    <protectedRange algorithmName="SHA-512" hashValue="Z1rJCOuCiy5GSRtmElLWRszd7s25boQXIs78u0N3aui7hLchIxbb+KprQTt86uSeb4JIoUSsfr+L825Tw7g/aQ==" saltValue="/PgZH7CrcFet+ky3FbrIfw==" spinCount="100000" sqref="E11:F11" name="pickup"/>
    <protectedRange algorithmName="SHA-512" hashValue="7sSVeFryxuJc8xBg7mfrKEU5t9pts2DHKi5kVYNXm6ju7hAadgpfTMLnOBTlZo2F1F6zRS5eYQfslZruFVTUow==" saltValue="zJ6h6RDucsS9KIGEH8E93Q==" spinCount="100000" sqref="E2:G12" name="Område1"/>
    <protectedRange algorithmName="SHA-512" hashValue="37l5/80M5hsrTYp03stU1urXlpJV7IxBq18uqqIhOXevnBi4NKL+19bGe6BMGQD1rqaoUuinGntWppfT/pCxyg==" saltValue="wQNM4BSmC6rFWevTX3t9Pg==" spinCount="100000" sqref="E11:F11" name="Område2"/>
    <protectedRange algorithmName="SHA-512" hashValue="7kEvCNYpwX0GKjxx3PCs1ihfNv15EZu1+JinFOHTSa0OW2c1ihaPp9Kr4hK9AEhuNNZr0grSNXudpqAAdxtytA==" saltValue="6cQrVp0OpvZCkeE7cO4JAQ==" spinCount="100000" sqref="E9" name="deliveru"/>
  </protectedRanges>
  <autoFilter ref="B496:K496" xr:uid="{D3041C6D-8AC6-494E-84B8-99F069400E95}"/>
  <dataConsolidate/>
  <mergeCells count="23">
    <mergeCell ref="I3:J3"/>
    <mergeCell ref="A326:J326"/>
    <mergeCell ref="A495:J495"/>
    <mergeCell ref="A1:J1"/>
    <mergeCell ref="A395:J395"/>
    <mergeCell ref="A421:J421"/>
    <mergeCell ref="A458:J458"/>
    <mergeCell ref="E2:F2"/>
    <mergeCell ref="E3:F3"/>
    <mergeCell ref="E9:G9"/>
    <mergeCell ref="E10:G10"/>
    <mergeCell ref="I2:J2"/>
    <mergeCell ref="I13:J13"/>
    <mergeCell ref="A15:J15"/>
    <mergeCell ref="A60:J60"/>
    <mergeCell ref="A148:J148"/>
    <mergeCell ref="A238:J238"/>
    <mergeCell ref="A207:J207"/>
    <mergeCell ref="A179:J179"/>
    <mergeCell ref="E5:G5"/>
    <mergeCell ref="E6:G6"/>
    <mergeCell ref="I9:J9"/>
    <mergeCell ref="I10:J10"/>
  </mergeCells>
  <phoneticPr fontId="18" type="noConversion"/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43E6-A062-441A-B4F8-88F86F75455D}">
  <sheetPr codeName="Ark2">
    <pageSetUpPr fitToPage="1"/>
  </sheetPr>
  <dimension ref="A1:J172"/>
  <sheetViews>
    <sheetView showZeros="0" topLeftCell="A5" zoomScale="80" zoomScaleNormal="80" workbookViewId="0">
      <selection activeCell="D12" sqref="D12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45.570312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6"/>
      <c r="C2" s="7"/>
      <c r="D2" s="48"/>
      <c r="E2" s="66"/>
      <c r="F2" s="67"/>
      <c r="G2" s="7"/>
      <c r="H2" s="46"/>
      <c r="I2" s="6"/>
    </row>
    <row r="3" spans="1:10" ht="19.5" thickBot="1" x14ac:dyDescent="0.35">
      <c r="A3" s="6"/>
      <c r="B3" s="63"/>
      <c r="C3" s="7"/>
      <c r="D3" s="44"/>
      <c r="E3" s="64"/>
      <c r="F3" s="65"/>
      <c r="G3" s="7"/>
      <c r="H3" s="63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6"/>
      <c r="C5" s="7"/>
      <c r="D5" s="46"/>
      <c r="E5" s="7"/>
      <c r="F5" s="7"/>
      <c r="G5" s="7"/>
      <c r="H5" s="46"/>
      <c r="I5" s="6"/>
    </row>
    <row r="6" spans="1:10" ht="19.5" thickBot="1" x14ac:dyDescent="0.35">
      <c r="A6" s="6"/>
      <c r="B6" s="63"/>
      <c r="C6" s="7"/>
      <c r="D6" s="63"/>
      <c r="E6" s="7"/>
      <c r="F6" s="7"/>
      <c r="G6" s="7"/>
      <c r="H6" s="63"/>
      <c r="I6" s="6"/>
    </row>
    <row r="10" spans="1:10" ht="23.25" x14ac:dyDescent="0.35">
      <c r="A10" s="214" t="s">
        <v>15</v>
      </c>
      <c r="B10" s="215"/>
      <c r="C10" s="215"/>
      <c r="D10" s="215"/>
      <c r="E10" s="215"/>
      <c r="F10" s="215"/>
      <c r="G10" s="215"/>
      <c r="H10" s="15"/>
      <c r="I10" s="15"/>
      <c r="J10" s="15"/>
    </row>
    <row r="11" spans="1:10" ht="30" x14ac:dyDescent="0.25">
      <c r="A11" s="1" t="s">
        <v>6</v>
      </c>
      <c r="B11" s="1" t="s">
        <v>7</v>
      </c>
      <c r="C11" s="2" t="s">
        <v>8</v>
      </c>
      <c r="D11" s="2" t="s">
        <v>9</v>
      </c>
      <c r="E11" s="2" t="s">
        <v>10</v>
      </c>
      <c r="F11" s="3" t="s">
        <v>11</v>
      </c>
      <c r="G11" s="4" t="s">
        <v>12</v>
      </c>
      <c r="H11" s="2" t="s">
        <v>421</v>
      </c>
    </row>
    <row r="12" spans="1:10" x14ac:dyDescent="0.25">
      <c r="A12" s="17" cm="1">
        <f t="array" ref="A12:G52">Tabell15[[NUMMER]:[NOK]]</f>
        <v>1</v>
      </c>
      <c r="B12" s="5">
        <v>5299</v>
      </c>
      <c r="C12" s="10" t="str">
        <v>ANANAS STK / PINEAPPLE PCS</v>
      </c>
      <c r="D12" s="8">
        <v>0</v>
      </c>
      <c r="E12" s="12" t="str">
        <v>STK/PCS</v>
      </c>
      <c r="F12" s="12">
        <v>8</v>
      </c>
      <c r="G12" s="14">
        <v>47.67</v>
      </c>
      <c r="H12" s="32" cm="1">
        <f t="array" ref="H12:H52">Tabell15[V.NR KRAEMER]</f>
        <v>11887227</v>
      </c>
    </row>
    <row r="13" spans="1:10" x14ac:dyDescent="0.25">
      <c r="A13" s="17">
        <v>2</v>
      </c>
      <c r="B13" s="5">
        <v>5712</v>
      </c>
      <c r="C13" s="10" t="str">
        <v>APPELSIN KG / ORANGE KG</v>
      </c>
      <c r="D13" s="8">
        <v>0</v>
      </c>
      <c r="E13" s="12" t="str">
        <v>KG</v>
      </c>
      <c r="F13" s="12">
        <v>15</v>
      </c>
      <c r="G13" s="14">
        <v>38.9</v>
      </c>
      <c r="H13" s="32">
        <v>11000787</v>
      </c>
    </row>
    <row r="14" spans="1:10" x14ac:dyDescent="0.25">
      <c r="A14" s="17">
        <v>3</v>
      </c>
      <c r="B14" s="5">
        <v>2000548400000</v>
      </c>
      <c r="C14" s="10" t="str">
        <v>AVOKADO MODNET 2PK / AVOCADO MATURE 2PCS</v>
      </c>
      <c r="D14" s="8">
        <v>0</v>
      </c>
      <c r="E14" s="12" t="str">
        <v>STK/PCS</v>
      </c>
      <c r="F14" s="12">
        <v>7</v>
      </c>
      <c r="G14" s="14">
        <v>45.9</v>
      </c>
      <c r="H14" s="32">
        <v>0</v>
      </c>
    </row>
    <row r="15" spans="1:10" x14ac:dyDescent="0.25">
      <c r="A15" s="17">
        <v>4</v>
      </c>
      <c r="B15" s="5">
        <v>5292</v>
      </c>
      <c r="C15" s="10" t="str">
        <v>AVOKADO STOR STK / AVOCADO LARGE PCS</v>
      </c>
      <c r="D15" s="8">
        <v>0</v>
      </c>
      <c r="E15" s="12" t="str">
        <v>STK/PCS</v>
      </c>
      <c r="F15" s="12">
        <v>15</v>
      </c>
      <c r="G15" s="14">
        <v>37.9</v>
      </c>
      <c r="H15" s="32">
        <v>11000789</v>
      </c>
    </row>
    <row r="16" spans="1:10" x14ac:dyDescent="0.25">
      <c r="A16" s="17">
        <v>5</v>
      </c>
      <c r="B16" s="5">
        <v>2000549700000</v>
      </c>
      <c r="C16" s="10" t="str">
        <v>AVOKADO 800G NETT / AVOCADO BAG 800G</v>
      </c>
      <c r="D16" s="8">
        <v>0</v>
      </c>
      <c r="E16" s="12" t="str">
        <v>STK/PCS</v>
      </c>
      <c r="F16" s="12">
        <v>12</v>
      </c>
      <c r="G16" s="14">
        <v>75.36</v>
      </c>
      <c r="H16" s="32">
        <v>13787943</v>
      </c>
    </row>
    <row r="17" spans="1:8" x14ac:dyDescent="0.25">
      <c r="A17" s="17">
        <v>6</v>
      </c>
      <c r="B17" s="5">
        <v>5730</v>
      </c>
      <c r="C17" s="10" t="str">
        <v>BANAN KG /BANANA KG</v>
      </c>
      <c r="D17" s="8">
        <v>0</v>
      </c>
      <c r="E17" s="12" t="str">
        <v>KG</v>
      </c>
      <c r="F17" s="12">
        <v>18</v>
      </c>
      <c r="G17" s="14">
        <v>30.76</v>
      </c>
      <c r="H17" s="32">
        <v>13816448</v>
      </c>
    </row>
    <row r="18" spans="1:8" x14ac:dyDescent="0.25">
      <c r="A18" s="17">
        <v>7</v>
      </c>
      <c r="B18" s="5">
        <v>6730</v>
      </c>
      <c r="C18" s="10" t="str">
        <v>BANAN ØKOLOGISK KG / BANANA ORGANIC KG</v>
      </c>
      <c r="D18" s="8">
        <v>0</v>
      </c>
      <c r="E18" s="12" t="str">
        <v>KG</v>
      </c>
      <c r="F18" s="12">
        <v>13</v>
      </c>
      <c r="G18" s="14">
        <v>34.9</v>
      </c>
      <c r="H18" s="32">
        <v>0</v>
      </c>
    </row>
    <row r="19" spans="1:8" x14ac:dyDescent="0.25">
      <c r="A19" s="17">
        <v>8</v>
      </c>
      <c r="B19" s="5">
        <v>2000526900000</v>
      </c>
      <c r="C19" s="10" t="str">
        <v>BÆR BJØRNEBÆR 125G  / BLACKBERRY 125G</v>
      </c>
      <c r="D19" s="8">
        <v>0</v>
      </c>
      <c r="E19" s="12" t="str">
        <v>STK/PCS</v>
      </c>
      <c r="F19" s="12">
        <v>8</v>
      </c>
      <c r="G19" s="14">
        <v>46.9</v>
      </c>
      <c r="H19" s="32">
        <v>12049398</v>
      </c>
    </row>
    <row r="20" spans="1:8" x14ac:dyDescent="0.25">
      <c r="A20" s="17">
        <v>10</v>
      </c>
      <c r="B20" s="5">
        <v>2000534600000</v>
      </c>
      <c r="C20" s="10" t="str">
        <v>BÆR BLÅBÆR 225G / BLUEBERRY 225G</v>
      </c>
      <c r="D20" s="8">
        <v>0</v>
      </c>
      <c r="E20" s="12" t="str">
        <v>STK/PCS</v>
      </c>
      <c r="F20" s="12">
        <v>12</v>
      </c>
      <c r="G20" s="14">
        <v>52.29</v>
      </c>
      <c r="H20" s="32">
        <v>0</v>
      </c>
    </row>
    <row r="21" spans="1:8" x14ac:dyDescent="0.25">
      <c r="A21" s="17">
        <v>11</v>
      </c>
      <c r="B21" s="5">
        <v>2000583800000</v>
      </c>
      <c r="C21" s="10" t="str">
        <v>BÆR BRINGEBÆR 125G / RASBERRY 125G</v>
      </c>
      <c r="D21" s="8">
        <v>0</v>
      </c>
      <c r="E21" s="12" t="str">
        <v>STK/PCS</v>
      </c>
      <c r="F21" s="12">
        <v>6</v>
      </c>
      <c r="G21" s="14">
        <v>72.900000000000006</v>
      </c>
      <c r="H21" s="32">
        <v>11000862</v>
      </c>
    </row>
    <row r="22" spans="1:8" x14ac:dyDescent="0.25">
      <c r="A22" s="17">
        <v>12</v>
      </c>
      <c r="B22" s="5">
        <v>2000583600000</v>
      </c>
      <c r="C22" s="10" t="str">
        <v>BÆR PHYSALIS 125G / PHYSALIS 125G</v>
      </c>
      <c r="D22" s="8">
        <v>0</v>
      </c>
      <c r="E22" s="12" t="str">
        <v>STK/PCS</v>
      </c>
      <c r="F22" s="12">
        <v>8</v>
      </c>
      <c r="G22" s="14">
        <v>39.9</v>
      </c>
      <c r="H22" s="32">
        <v>0</v>
      </c>
    </row>
    <row r="23" spans="1:8" x14ac:dyDescent="0.25">
      <c r="A23" s="17">
        <v>13</v>
      </c>
      <c r="B23" s="5">
        <v>2000534900000</v>
      </c>
      <c r="C23" s="10" t="str">
        <v>BÆR RIPS 125G /RED CURRANT 125G</v>
      </c>
      <c r="D23" s="8">
        <v>0</v>
      </c>
      <c r="E23" s="12" t="str">
        <v>STK/PCS</v>
      </c>
      <c r="F23" s="12">
        <v>12</v>
      </c>
      <c r="G23" s="14">
        <v>53.9</v>
      </c>
      <c r="H23" s="32">
        <v>12395911</v>
      </c>
    </row>
    <row r="24" spans="1:8" x14ac:dyDescent="0.25">
      <c r="A24" s="17">
        <v>14</v>
      </c>
      <c r="B24" s="5">
        <v>2000582000000</v>
      </c>
      <c r="C24" s="10" t="str">
        <v>BÆR JORDBÆR 500G / STRAWBERRY 500G</v>
      </c>
      <c r="D24" s="8">
        <v>0</v>
      </c>
      <c r="E24" s="12" t="str">
        <v>STK/PCS</v>
      </c>
      <c r="F24" s="12">
        <v>11</v>
      </c>
      <c r="G24" s="14">
        <v>84.59</v>
      </c>
      <c r="H24" s="32">
        <v>11000864</v>
      </c>
    </row>
    <row r="25" spans="1:8" x14ac:dyDescent="0.25">
      <c r="A25" s="17">
        <v>15</v>
      </c>
      <c r="B25" s="5">
        <v>5706779036923</v>
      </c>
      <c r="C25" s="10" t="str">
        <v>DADLER 600G STK / DATES 600G PCS</v>
      </c>
      <c r="D25" s="8">
        <v>0</v>
      </c>
      <c r="E25" s="12" t="str">
        <v>STK/PCS</v>
      </c>
      <c r="F25" s="12">
        <v>12</v>
      </c>
      <c r="G25" s="14">
        <v>51.9</v>
      </c>
      <c r="H25" s="32">
        <v>0</v>
      </c>
    </row>
    <row r="26" spans="1:8" x14ac:dyDescent="0.25">
      <c r="A26" s="17">
        <v>16</v>
      </c>
      <c r="B26" s="5">
        <v>2000511000000</v>
      </c>
      <c r="C26" s="10" t="str">
        <v>DRUE FARGET STFR 500G / RED GRAPES 500G</v>
      </c>
      <c r="D26" s="8">
        <v>0</v>
      </c>
      <c r="E26" s="12" t="str">
        <v>STK/PCS</v>
      </c>
      <c r="F26" s="12">
        <v>10</v>
      </c>
      <c r="G26" s="14">
        <v>53.83</v>
      </c>
      <c r="H26" s="32">
        <v>12052214</v>
      </c>
    </row>
    <row r="27" spans="1:8" x14ac:dyDescent="0.25">
      <c r="A27" s="17">
        <v>17</v>
      </c>
      <c r="B27" s="5">
        <v>2000574500000</v>
      </c>
      <c r="C27" s="10" t="str">
        <v>DRUE GRØNN STFR 500G / GREEN GRAPES 500G</v>
      </c>
      <c r="D27" s="8">
        <v>0</v>
      </c>
      <c r="E27" s="12" t="str">
        <v>STK/PCS</v>
      </c>
      <c r="F27" s="12">
        <v>10</v>
      </c>
      <c r="G27" s="14">
        <v>53.83</v>
      </c>
      <c r="H27" s="32">
        <v>12220609</v>
      </c>
    </row>
    <row r="28" spans="1:8" x14ac:dyDescent="0.25">
      <c r="A28" s="17">
        <v>18</v>
      </c>
      <c r="B28" s="5">
        <v>2000525800000</v>
      </c>
      <c r="C28" s="10" t="str">
        <v>EPLE PINK LADY 6STK /APPLE PINK LADY 6PCS</v>
      </c>
      <c r="D28" s="8">
        <v>0</v>
      </c>
      <c r="E28" s="12" t="str">
        <v>STK/PCS</v>
      </c>
      <c r="F28" s="12">
        <v>11</v>
      </c>
      <c r="G28" s="14">
        <v>59.9</v>
      </c>
      <c r="H28" s="32">
        <v>0</v>
      </c>
    </row>
    <row r="29" spans="1:8" x14ac:dyDescent="0.25">
      <c r="A29" s="17">
        <v>19</v>
      </c>
      <c r="B29" s="5">
        <v>5762</v>
      </c>
      <c r="C29" s="10" t="str">
        <v>EPLE RØD KG / APPLE RED KG</v>
      </c>
      <c r="D29" s="8">
        <v>0</v>
      </c>
      <c r="E29" s="12" t="str">
        <v>KG</v>
      </c>
      <c r="F29" s="12">
        <v>12</v>
      </c>
      <c r="G29" s="14">
        <v>33.9</v>
      </c>
      <c r="H29" s="32">
        <v>11000904</v>
      </c>
    </row>
    <row r="30" spans="1:8" x14ac:dyDescent="0.25">
      <c r="A30" s="17">
        <v>20</v>
      </c>
      <c r="B30" s="5">
        <v>5766</v>
      </c>
      <c r="C30" s="10" t="str">
        <v>EPLE GRØNNE KG / APPLE GREEN KG</v>
      </c>
      <c r="D30" s="8">
        <v>0</v>
      </c>
      <c r="E30" s="12" t="str">
        <v>KG</v>
      </c>
      <c r="F30" s="12">
        <v>14</v>
      </c>
      <c r="G30" s="14">
        <v>39.9</v>
      </c>
      <c r="H30" s="32">
        <v>11000906</v>
      </c>
    </row>
    <row r="31" spans="1:8" x14ac:dyDescent="0.25">
      <c r="A31" s="17">
        <v>21</v>
      </c>
      <c r="B31" s="5">
        <v>5764</v>
      </c>
      <c r="C31" s="10" t="str">
        <v>EPLE GULE KG / APPLE YELLOW KG</v>
      </c>
      <c r="D31" s="8">
        <v>0</v>
      </c>
      <c r="E31" s="12" t="str">
        <v>KG</v>
      </c>
      <c r="F31" s="12">
        <v>13</v>
      </c>
      <c r="G31" s="14">
        <v>39.9</v>
      </c>
      <c r="H31" s="32">
        <v>0</v>
      </c>
    </row>
    <row r="32" spans="1:8" x14ac:dyDescent="0.25">
      <c r="A32" s="17">
        <v>22</v>
      </c>
      <c r="B32" s="5">
        <v>2000509700000</v>
      </c>
      <c r="C32" s="10" t="str">
        <v>FIKEN 3STK / FIGGS 3PCS</v>
      </c>
      <c r="D32" s="8">
        <v>0</v>
      </c>
      <c r="E32" s="12" t="str">
        <v>STK/PCS</v>
      </c>
      <c r="F32" s="12">
        <v>10</v>
      </c>
      <c r="G32" s="14">
        <v>44.6</v>
      </c>
      <c r="H32" s="32">
        <v>0</v>
      </c>
    </row>
    <row r="33" spans="1:8" x14ac:dyDescent="0.25">
      <c r="A33" s="17">
        <v>23</v>
      </c>
      <c r="B33" s="5">
        <v>5984</v>
      </c>
      <c r="C33" s="10" t="str">
        <v>GRANATEPLE STK / POMEGRANATE PCS</v>
      </c>
      <c r="D33" s="8">
        <v>0</v>
      </c>
      <c r="E33" s="12" t="str">
        <v>STK/PCS</v>
      </c>
      <c r="F33" s="12">
        <v>10</v>
      </c>
      <c r="G33" s="14">
        <v>31.9</v>
      </c>
      <c r="H33" s="32">
        <v>13792960</v>
      </c>
    </row>
    <row r="34" spans="1:8" x14ac:dyDescent="0.25">
      <c r="A34" s="17">
        <v>24</v>
      </c>
      <c r="B34" s="5">
        <v>5725</v>
      </c>
      <c r="C34" s="10" t="str">
        <v>GRAPEFRUKT RØD KG / GRAPEFRUIT RED KG</v>
      </c>
      <c r="D34" s="8">
        <v>0</v>
      </c>
      <c r="E34" s="12" t="str">
        <v>KG</v>
      </c>
      <c r="F34" s="12">
        <v>8</v>
      </c>
      <c r="G34" s="14">
        <v>42.9</v>
      </c>
      <c r="H34" s="32">
        <v>11001086</v>
      </c>
    </row>
    <row r="35" spans="1:8" x14ac:dyDescent="0.25">
      <c r="A35" s="17">
        <v>25</v>
      </c>
      <c r="B35" s="5">
        <v>5310</v>
      </c>
      <c r="C35" s="10" t="str">
        <v>KIWI GRØNN STK / KIWI GREEN PCS</v>
      </c>
      <c r="D35" s="8">
        <v>0</v>
      </c>
      <c r="E35" s="12" t="str">
        <v>STK/PCS</v>
      </c>
      <c r="F35" s="12">
        <v>46</v>
      </c>
      <c r="G35" s="14">
        <v>8.9</v>
      </c>
      <c r="H35" s="32">
        <v>11001047</v>
      </c>
    </row>
    <row r="36" spans="1:8" x14ac:dyDescent="0.25">
      <c r="A36" s="17">
        <v>26</v>
      </c>
      <c r="B36" s="5">
        <v>2000568400000</v>
      </c>
      <c r="C36" s="10" t="str">
        <v>KIWI GUL 4PK / KIWI YELLOW 4PCS</v>
      </c>
      <c r="D36" s="8">
        <v>0</v>
      </c>
      <c r="E36" s="12" t="str">
        <v>STK/PCS</v>
      </c>
      <c r="F36" s="12">
        <v>12</v>
      </c>
      <c r="G36" s="14">
        <v>66.13</v>
      </c>
      <c r="H36" s="32">
        <v>0</v>
      </c>
    </row>
    <row r="37" spans="1:8" x14ac:dyDescent="0.25">
      <c r="A37" s="17">
        <v>27</v>
      </c>
      <c r="B37" s="5">
        <v>5722</v>
      </c>
      <c r="C37" s="10" t="str">
        <v>KLEMENTIN KG / CLEMENTINE KG</v>
      </c>
      <c r="D37" s="8">
        <v>0</v>
      </c>
      <c r="E37" s="12" t="str">
        <v>KG</v>
      </c>
      <c r="F37" s="12">
        <v>12</v>
      </c>
      <c r="G37" s="14">
        <v>53.83</v>
      </c>
      <c r="H37" s="32">
        <v>11001015</v>
      </c>
    </row>
    <row r="38" spans="1:8" x14ac:dyDescent="0.25">
      <c r="A38" s="17">
        <v>28</v>
      </c>
      <c r="B38" s="5">
        <v>5716</v>
      </c>
      <c r="C38" s="10" t="str">
        <v>LIME KG / LIME KG</v>
      </c>
      <c r="D38" s="8">
        <v>0</v>
      </c>
      <c r="E38" s="12" t="str">
        <v>KG</v>
      </c>
      <c r="F38" s="12">
        <v>5</v>
      </c>
      <c r="G38" s="14">
        <v>59.9</v>
      </c>
      <c r="H38" s="32">
        <v>11001089</v>
      </c>
    </row>
    <row r="39" spans="1:8" x14ac:dyDescent="0.25">
      <c r="A39" s="17">
        <v>29</v>
      </c>
      <c r="B39" s="5">
        <v>5474</v>
      </c>
      <c r="C39" s="10" t="str">
        <v>MANGO  STK / MANGO PCS</v>
      </c>
      <c r="D39" s="8">
        <v>0</v>
      </c>
      <c r="E39" s="12" t="str">
        <v>STK/PCS</v>
      </c>
      <c r="F39" s="12">
        <v>7</v>
      </c>
      <c r="G39" s="14">
        <v>39.9</v>
      </c>
      <c r="H39" s="32">
        <v>13792957</v>
      </c>
    </row>
    <row r="40" spans="1:8" x14ac:dyDescent="0.25">
      <c r="A40" s="17">
        <v>30</v>
      </c>
      <c r="B40" s="5">
        <v>2000528400000</v>
      </c>
      <c r="C40" s="10" t="str">
        <v>MANGO TØRKET SKIVET 400G / MANGO DRIED SLICED 400G</v>
      </c>
      <c r="D40" s="8">
        <v>0</v>
      </c>
      <c r="E40" s="12" t="str">
        <v>STK/PCS</v>
      </c>
      <c r="F40" s="12">
        <v>30</v>
      </c>
      <c r="G40" s="14">
        <v>113.81</v>
      </c>
      <c r="H40" s="32">
        <v>0</v>
      </c>
    </row>
    <row r="41" spans="1:8" x14ac:dyDescent="0.25">
      <c r="A41" s="17">
        <v>31</v>
      </c>
      <c r="B41" s="5">
        <v>5325</v>
      </c>
      <c r="C41" s="10" t="str">
        <v>MELON CANTALOUPE KG / MELON CANTALOUPE KG</v>
      </c>
      <c r="D41" s="8">
        <v>0</v>
      </c>
      <c r="E41" s="12" t="str">
        <v>KG</v>
      </c>
      <c r="F41" s="12">
        <v>5</v>
      </c>
      <c r="G41" s="14">
        <v>66.13</v>
      </c>
      <c r="H41" s="32">
        <v>11000979</v>
      </c>
    </row>
    <row r="42" spans="1:8" x14ac:dyDescent="0.25">
      <c r="A42" s="17">
        <v>32</v>
      </c>
      <c r="B42" s="5">
        <v>5302</v>
      </c>
      <c r="C42" s="10" t="str">
        <v>MELON HONNING KG / MELON HONEY KG</v>
      </c>
      <c r="D42" s="8">
        <v>0</v>
      </c>
      <c r="E42" s="12" t="str">
        <v>KG</v>
      </c>
      <c r="F42" s="12">
        <v>11</v>
      </c>
      <c r="G42" s="14">
        <v>51.29</v>
      </c>
      <c r="H42" s="32">
        <v>11000980</v>
      </c>
    </row>
    <row r="43" spans="1:8" x14ac:dyDescent="0.25">
      <c r="A43" s="17">
        <v>33</v>
      </c>
      <c r="B43" s="5">
        <v>5322</v>
      </c>
      <c r="C43" s="10" t="str">
        <v>MELON PIEL DE SAPO KG / MELON PIEL DE SAPO KG</v>
      </c>
      <c r="D43" s="8">
        <v>0</v>
      </c>
      <c r="E43" s="12" t="str">
        <v>KG</v>
      </c>
      <c r="F43" s="12">
        <v>11</v>
      </c>
      <c r="G43" s="14">
        <v>41.9</v>
      </c>
      <c r="H43" s="32">
        <v>11887393</v>
      </c>
    </row>
    <row r="44" spans="1:8" x14ac:dyDescent="0.25">
      <c r="A44" s="17">
        <v>34</v>
      </c>
      <c r="B44" s="5">
        <v>5734</v>
      </c>
      <c r="C44" s="10" t="str">
        <v>MELON VANN KG / MELON WATERMELON KG</v>
      </c>
      <c r="D44" s="8">
        <v>0</v>
      </c>
      <c r="E44" s="12" t="str">
        <v>KG</v>
      </c>
      <c r="F44" s="12">
        <v>17</v>
      </c>
      <c r="G44" s="14">
        <v>49.21</v>
      </c>
      <c r="H44" s="32">
        <v>11000977</v>
      </c>
    </row>
    <row r="45" spans="1:8" x14ac:dyDescent="0.25">
      <c r="A45" s="17">
        <v>36</v>
      </c>
      <c r="B45" s="5">
        <v>2000515600000</v>
      </c>
      <c r="C45" s="10" t="str">
        <v>PASJONSFRUKT 3STK / PASSION FRUIT 3PCS</v>
      </c>
      <c r="D45" s="8">
        <v>0</v>
      </c>
      <c r="E45" s="12" t="str">
        <v>STK/PCS</v>
      </c>
      <c r="F45" s="12">
        <v>10</v>
      </c>
      <c r="G45" s="14">
        <v>35.369999999999997</v>
      </c>
      <c r="H45" s="32">
        <v>11000889</v>
      </c>
    </row>
    <row r="46" spans="1:8" x14ac:dyDescent="0.25">
      <c r="A46" s="17">
        <v>37</v>
      </c>
      <c r="B46" s="5">
        <v>5782</v>
      </c>
      <c r="C46" s="10" t="str">
        <v>PÆRE KG / PEAR KG</v>
      </c>
      <c r="D46" s="8">
        <v>0</v>
      </c>
      <c r="E46" s="12" t="str">
        <v>KG</v>
      </c>
      <c r="F46" s="12">
        <v>13</v>
      </c>
      <c r="G46" s="14">
        <v>42.9</v>
      </c>
      <c r="H46" s="32">
        <v>11000996</v>
      </c>
    </row>
    <row r="47" spans="1:8" x14ac:dyDescent="0.25">
      <c r="A47" s="17">
        <v>38</v>
      </c>
      <c r="B47" s="5">
        <v>5714</v>
      </c>
      <c r="C47" s="10" t="str">
        <v>SITRON KG / LEMON KG</v>
      </c>
      <c r="D47" s="8">
        <v>0</v>
      </c>
      <c r="E47" s="12" t="str">
        <v>KG</v>
      </c>
      <c r="F47" s="12">
        <v>8</v>
      </c>
      <c r="G47" s="14">
        <v>42.9</v>
      </c>
      <c r="H47" s="32">
        <v>11001087</v>
      </c>
    </row>
    <row r="48" spans="1:8" x14ac:dyDescent="0.25">
      <c r="A48" s="17">
        <v>39</v>
      </c>
      <c r="B48" s="5">
        <v>0</v>
      </c>
      <c r="C48" s="10" t="str">
        <v>LEDIG</v>
      </c>
      <c r="D48" s="8">
        <v>0</v>
      </c>
      <c r="E48" s="12">
        <v>0</v>
      </c>
      <c r="F48" s="12">
        <v>0</v>
      </c>
      <c r="G48" s="14">
        <v>0</v>
      </c>
      <c r="H48" s="32">
        <v>0</v>
      </c>
    </row>
    <row r="49" spans="1:8" x14ac:dyDescent="0.25">
      <c r="A49" s="17">
        <v>40</v>
      </c>
      <c r="B49" s="5">
        <v>0</v>
      </c>
      <c r="C49" s="10" t="str">
        <v>LEDIG</v>
      </c>
      <c r="D49" s="8">
        <v>0</v>
      </c>
      <c r="E49" s="12">
        <v>0</v>
      </c>
      <c r="F49" s="12">
        <v>0</v>
      </c>
      <c r="G49" s="14">
        <v>0</v>
      </c>
      <c r="H49" s="32">
        <v>0</v>
      </c>
    </row>
    <row r="50" spans="1:8" x14ac:dyDescent="0.25">
      <c r="A50" s="17">
        <v>41</v>
      </c>
      <c r="B50" s="5">
        <v>0</v>
      </c>
      <c r="C50" s="10" t="str">
        <v>LEDIG</v>
      </c>
      <c r="D50" s="8">
        <v>0</v>
      </c>
      <c r="E50" s="12">
        <v>0</v>
      </c>
      <c r="F50" s="12">
        <v>0</v>
      </c>
      <c r="G50" s="14">
        <v>0</v>
      </c>
      <c r="H50" s="32">
        <v>0</v>
      </c>
    </row>
    <row r="51" spans="1:8" x14ac:dyDescent="0.25">
      <c r="A51" s="17">
        <v>42</v>
      </c>
      <c r="B51" s="5">
        <v>0</v>
      </c>
      <c r="C51" s="10" t="str">
        <v>LEDIG</v>
      </c>
      <c r="D51" s="8">
        <v>0</v>
      </c>
      <c r="E51" s="12">
        <v>0</v>
      </c>
      <c r="F51" s="12">
        <v>0</v>
      </c>
      <c r="G51" s="14">
        <v>0</v>
      </c>
      <c r="H51" s="32">
        <v>0</v>
      </c>
    </row>
    <row r="52" spans="1:8" x14ac:dyDescent="0.25">
      <c r="A52" s="17">
        <v>43</v>
      </c>
      <c r="B52" s="5">
        <v>0</v>
      </c>
      <c r="C52" s="10" t="str">
        <v>LEDIG</v>
      </c>
      <c r="D52" s="8">
        <v>0</v>
      </c>
      <c r="E52" s="12">
        <v>0</v>
      </c>
      <c r="F52" s="12">
        <v>0</v>
      </c>
      <c r="G52" s="14">
        <v>0</v>
      </c>
      <c r="H52" s="32">
        <v>0</v>
      </c>
    </row>
    <row r="53" spans="1:8" x14ac:dyDescent="0.25">
      <c r="A53" s="17"/>
      <c r="B53" s="5"/>
      <c r="C53" s="10"/>
      <c r="D53" s="8"/>
      <c r="E53" s="12"/>
      <c r="F53" s="12"/>
      <c r="G53" s="14"/>
      <c r="H53" s="32"/>
    </row>
    <row r="54" spans="1:8" x14ac:dyDescent="0.25">
      <c r="A54" s="17"/>
      <c r="B54" s="5"/>
      <c r="C54" s="10"/>
      <c r="D54" s="8"/>
      <c r="E54" s="12"/>
      <c r="F54" s="12"/>
      <c r="G54" s="14"/>
      <c r="H54" s="32"/>
    </row>
    <row r="55" spans="1:8" x14ac:dyDescent="0.25">
      <c r="A55" s="17" cm="1">
        <f t="array" ref="A55:G138">Tabell19[[NUMMER]:[NOK]]</f>
        <v>1</v>
      </c>
      <c r="B55" s="5">
        <v>2000551600000</v>
      </c>
      <c r="C55" s="10" t="str">
        <v>AGURK STK / CUCUMBER PCS</v>
      </c>
      <c r="D55" s="8">
        <v>0</v>
      </c>
      <c r="E55" s="12" t="str">
        <v>STK/PCS</v>
      </c>
      <c r="F55" s="12">
        <v>14</v>
      </c>
      <c r="G55" s="14">
        <v>24.6</v>
      </c>
      <c r="H55" s="32" cm="1">
        <f t="array" ref="H55:H138">Tabell19[V.NR KRAEMER]</f>
        <v>12247473</v>
      </c>
    </row>
    <row r="56" spans="1:8" x14ac:dyDescent="0.25">
      <c r="A56" s="17">
        <v>2</v>
      </c>
      <c r="B56" s="5">
        <v>2000565300000</v>
      </c>
      <c r="C56" s="10" t="str">
        <v>ASPARGES GRØNN 250G / ASPARAGUS 250G</v>
      </c>
      <c r="D56" s="8">
        <v>0</v>
      </c>
      <c r="E56" s="12" t="str">
        <v>STK/PCS</v>
      </c>
      <c r="F56" s="12">
        <v>10</v>
      </c>
      <c r="G56" s="14">
        <v>69.209999999999994</v>
      </c>
      <c r="H56" s="32">
        <v>12049391</v>
      </c>
    </row>
    <row r="57" spans="1:8" x14ac:dyDescent="0.25">
      <c r="A57" s="17">
        <v>4</v>
      </c>
      <c r="B57" s="5">
        <v>2000551900000</v>
      </c>
      <c r="C57" s="10" t="str">
        <v>AUBERGIN  STK / EGGPLANT PCS</v>
      </c>
      <c r="D57" s="8">
        <v>0</v>
      </c>
      <c r="E57" s="12" t="str">
        <v>STK/PCS</v>
      </c>
      <c r="F57" s="12">
        <v>10</v>
      </c>
      <c r="G57" s="14">
        <v>27.9</v>
      </c>
      <c r="H57" s="32">
        <v>11001058</v>
      </c>
    </row>
    <row r="58" spans="1:8" x14ac:dyDescent="0.25">
      <c r="A58" s="17">
        <v>5</v>
      </c>
      <c r="B58" s="5">
        <v>2000604900000</v>
      </c>
      <c r="C58" s="10" t="str">
        <v>BETEMIX 1KG BGR / BEET MIX 1KG</v>
      </c>
      <c r="D58" s="8">
        <v>0</v>
      </c>
      <c r="E58" s="12" t="str">
        <v>STK/PCS</v>
      </c>
      <c r="F58" s="12">
        <v>8</v>
      </c>
      <c r="G58" s="14">
        <v>73.900000000000006</v>
      </c>
      <c r="H58" s="32">
        <v>0</v>
      </c>
    </row>
    <row r="59" spans="1:8" x14ac:dyDescent="0.25">
      <c r="A59" s="17">
        <v>6</v>
      </c>
      <c r="B59" s="5">
        <v>5508</v>
      </c>
      <c r="C59" s="10" t="str">
        <v>BLOMKÅL STK / CAULIFLOWER PCS</v>
      </c>
      <c r="D59" s="8">
        <v>0</v>
      </c>
      <c r="E59" s="12" t="str">
        <v>STK/PCS</v>
      </c>
      <c r="F59" s="12">
        <v>10</v>
      </c>
      <c r="G59" s="14">
        <v>44.6</v>
      </c>
      <c r="H59" s="32">
        <v>11000859</v>
      </c>
    </row>
    <row r="60" spans="1:8" x14ac:dyDescent="0.25">
      <c r="A60" s="17">
        <v>7</v>
      </c>
      <c r="B60" s="5">
        <v>2000551200000</v>
      </c>
      <c r="C60" s="10" t="str">
        <v>BROKKOLI STK / BROCCOLI PCS</v>
      </c>
      <c r="D60" s="8">
        <v>0</v>
      </c>
      <c r="E60" s="12" t="str">
        <v>STK/PCS</v>
      </c>
      <c r="F60" s="12">
        <v>13</v>
      </c>
      <c r="G60" s="14">
        <v>31.9</v>
      </c>
      <c r="H60" s="32">
        <v>13800260</v>
      </c>
    </row>
    <row r="61" spans="1:8" x14ac:dyDescent="0.25">
      <c r="A61" s="17">
        <v>8</v>
      </c>
      <c r="B61" s="5">
        <v>200551300004</v>
      </c>
      <c r="C61" s="10" t="str">
        <v>BROKKOLINI 200G STK / BROCCOLINI 200G</v>
      </c>
      <c r="D61" s="8">
        <v>0</v>
      </c>
      <c r="E61" s="12" t="str">
        <v>STK/PCS</v>
      </c>
      <c r="F61" s="12">
        <v>8</v>
      </c>
      <c r="G61" s="14">
        <v>41.9</v>
      </c>
      <c r="H61" s="32">
        <v>12220556</v>
      </c>
    </row>
    <row r="62" spans="1:8" x14ac:dyDescent="0.25">
      <c r="A62" s="17">
        <v>9</v>
      </c>
      <c r="B62" s="5">
        <v>2000538900000</v>
      </c>
      <c r="C62" s="10" t="str">
        <v>BØNNE ASPARGES 200G / HARICOTS VERTS 200G</v>
      </c>
      <c r="D62" s="8">
        <v>0</v>
      </c>
      <c r="E62" s="12" t="str">
        <v>STK/PCS</v>
      </c>
      <c r="F62" s="12">
        <v>4</v>
      </c>
      <c r="G62" s="14">
        <v>51.9</v>
      </c>
      <c r="H62" s="32">
        <v>11001082</v>
      </c>
    </row>
    <row r="63" spans="1:8" x14ac:dyDescent="0.25">
      <c r="A63" s="17">
        <v>10</v>
      </c>
      <c r="B63" s="5">
        <v>2000513400000</v>
      </c>
      <c r="C63" s="10" t="str">
        <v>CHILI RØD 50G / CHILI RED 50G</v>
      </c>
      <c r="D63" s="8">
        <v>0</v>
      </c>
      <c r="E63" s="12" t="str">
        <v>STK/PCS</v>
      </c>
      <c r="F63" s="12">
        <v>10</v>
      </c>
      <c r="G63" s="14">
        <v>10.76</v>
      </c>
      <c r="H63" s="32">
        <v>0</v>
      </c>
    </row>
    <row r="64" spans="1:8" x14ac:dyDescent="0.25">
      <c r="A64" s="17">
        <v>11</v>
      </c>
      <c r="B64" s="5">
        <v>2000513500000</v>
      </c>
      <c r="C64" s="10" t="str">
        <v>CHILI GRØNN 50G / CHILI GREEN 50G</v>
      </c>
      <c r="D64" s="8">
        <v>0</v>
      </c>
      <c r="E64" s="12" t="str">
        <v>STK/PCS</v>
      </c>
      <c r="F64" s="12">
        <v>10</v>
      </c>
      <c r="G64" s="14">
        <v>10.76</v>
      </c>
      <c r="H64" s="32">
        <v>11000893</v>
      </c>
    </row>
    <row r="65" spans="1:8" x14ac:dyDescent="0.25">
      <c r="A65" s="17">
        <v>12</v>
      </c>
      <c r="B65" s="5">
        <v>2000506300000</v>
      </c>
      <c r="C65" s="10" t="str">
        <v>CHILI HABANERO 50G / CHILI HABANERO 50G</v>
      </c>
      <c r="D65" s="8">
        <v>0</v>
      </c>
      <c r="E65" s="12" t="str">
        <v>STK/PCS</v>
      </c>
      <c r="F65" s="12">
        <v>10</v>
      </c>
      <c r="G65" s="14">
        <v>16.91</v>
      </c>
      <c r="H65" s="32">
        <v>11000924</v>
      </c>
    </row>
    <row r="66" spans="1:8" x14ac:dyDescent="0.25">
      <c r="A66" s="17">
        <v>13</v>
      </c>
      <c r="B66" s="5">
        <v>2000513700000</v>
      </c>
      <c r="C66" s="10" t="str">
        <v>CHILI JALAPENO GRØNN 50G / CHILI JALAPENO GREEN 50G</v>
      </c>
      <c r="D66" s="8">
        <v>0</v>
      </c>
      <c r="E66" s="12" t="str">
        <v>STK/PCS</v>
      </c>
      <c r="F66" s="12">
        <v>10</v>
      </c>
      <c r="G66" s="14">
        <v>22.9</v>
      </c>
      <c r="H66" s="32">
        <v>12357289</v>
      </c>
    </row>
    <row r="67" spans="1:8" x14ac:dyDescent="0.25">
      <c r="A67" s="17">
        <v>14</v>
      </c>
      <c r="B67" s="5">
        <v>5638</v>
      </c>
      <c r="C67" s="10" t="str">
        <v>CHILI RØD KG / CHILI RED KG</v>
      </c>
      <c r="D67" s="8">
        <v>0</v>
      </c>
      <c r="E67" s="12" t="str">
        <v>KG</v>
      </c>
      <c r="F67" s="12">
        <v>1</v>
      </c>
      <c r="G67" s="14">
        <v>149.9</v>
      </c>
      <c r="H67" s="32">
        <v>11000894</v>
      </c>
    </row>
    <row r="68" spans="1:8" x14ac:dyDescent="0.25">
      <c r="A68" s="17">
        <v>15</v>
      </c>
      <c r="B68" s="5">
        <v>2000517000000</v>
      </c>
      <c r="C68" s="10" t="str">
        <v>CHILI RØD RAWIT 50G / CHILE RED RAWIT 50G</v>
      </c>
      <c r="D68" s="8">
        <v>0</v>
      </c>
      <c r="E68" s="12" t="str">
        <v>STK/PCS</v>
      </c>
      <c r="F68" s="12">
        <v>8</v>
      </c>
      <c r="G68" s="14">
        <v>54.9</v>
      </c>
      <c r="H68" s="32">
        <v>0</v>
      </c>
    </row>
    <row r="69" spans="1:8" x14ac:dyDescent="0.25">
      <c r="A69" s="17">
        <v>16</v>
      </c>
      <c r="B69" s="5">
        <v>2000511400000</v>
      </c>
      <c r="C69" s="10" t="str">
        <v>FENNIKEL 200G / FENNEL 200G</v>
      </c>
      <c r="D69" s="8">
        <v>0</v>
      </c>
      <c r="E69" s="12" t="str">
        <v>STK/PCS</v>
      </c>
      <c r="F69" s="12">
        <v>10</v>
      </c>
      <c r="G69" s="14">
        <v>32.9</v>
      </c>
      <c r="H69" s="32">
        <v>11000896</v>
      </c>
    </row>
    <row r="70" spans="1:8" x14ac:dyDescent="0.25">
      <c r="A70" s="17">
        <v>17</v>
      </c>
      <c r="B70" s="5">
        <v>5069</v>
      </c>
      <c r="C70" s="10" t="str">
        <v>GRESSKAR BUTTERNUT KG  /BUTTERNUT SQUASH KG</v>
      </c>
      <c r="D70" s="8">
        <v>0</v>
      </c>
      <c r="E70" s="12" t="str">
        <v>KG</v>
      </c>
      <c r="F70" s="12">
        <v>10</v>
      </c>
      <c r="G70" s="14">
        <v>34.9</v>
      </c>
      <c r="H70" s="32">
        <v>13881198</v>
      </c>
    </row>
    <row r="71" spans="1:8" x14ac:dyDescent="0.25">
      <c r="A71" s="17">
        <v>19</v>
      </c>
      <c r="B71" s="5">
        <v>2000559200000</v>
      </c>
      <c r="C71" s="10" t="str">
        <v>GULROT 1KG POSE / CARROT 1KG BAG</v>
      </c>
      <c r="D71" s="8">
        <v>0</v>
      </c>
      <c r="E71" s="12" t="str">
        <v>STK/PCS</v>
      </c>
      <c r="F71" s="12">
        <v>15</v>
      </c>
      <c r="G71" s="14">
        <v>36.9</v>
      </c>
      <c r="H71" s="32">
        <v>11000961</v>
      </c>
    </row>
    <row r="72" spans="1:8" x14ac:dyDescent="0.25">
      <c r="A72" s="17">
        <v>20</v>
      </c>
      <c r="B72" s="5">
        <v>2000544400000</v>
      </c>
      <c r="C72" s="10" t="str">
        <v>GULROT SNACK 250G /CARROT SNACK 250G</v>
      </c>
      <c r="D72" s="8">
        <v>0</v>
      </c>
      <c r="E72" s="12" t="str">
        <v>STK/PCS</v>
      </c>
      <c r="F72" s="12">
        <v>24</v>
      </c>
      <c r="G72" s="14">
        <v>33.9</v>
      </c>
      <c r="H72" s="32">
        <v>12220534</v>
      </c>
    </row>
    <row r="73" spans="1:8" x14ac:dyDescent="0.25">
      <c r="A73" s="17">
        <v>22</v>
      </c>
      <c r="B73" s="5">
        <v>5572</v>
      </c>
      <c r="C73" s="10" t="str">
        <v>HODEKÅL KG / CABBAGE GREEN KG</v>
      </c>
      <c r="D73" s="8">
        <v>0</v>
      </c>
      <c r="E73" s="12" t="str">
        <v>KG</v>
      </c>
      <c r="F73" s="12">
        <v>12</v>
      </c>
      <c r="G73" s="14">
        <v>21.9</v>
      </c>
      <c r="H73" s="32">
        <v>11000964</v>
      </c>
    </row>
    <row r="74" spans="1:8" x14ac:dyDescent="0.25">
      <c r="A74" s="17">
        <v>23</v>
      </c>
      <c r="B74" s="5">
        <v>5580</v>
      </c>
      <c r="C74" s="10" t="str">
        <v>HODEKÅL RØD KG / CABBAGE RED KG</v>
      </c>
      <c r="D74" s="8">
        <v>0</v>
      </c>
      <c r="E74" s="12" t="str">
        <v>KG</v>
      </c>
      <c r="F74" s="12">
        <v>13</v>
      </c>
      <c r="G74" s="14">
        <v>26.9</v>
      </c>
      <c r="H74" s="32">
        <v>11000966</v>
      </c>
    </row>
    <row r="75" spans="1:8" x14ac:dyDescent="0.25">
      <c r="A75" s="17">
        <v>24</v>
      </c>
      <c r="B75" s="5">
        <v>5584</v>
      </c>
      <c r="C75" s="10" t="str">
        <v>HODEKÅL SAVOY KG / SAVOY CABBAGE KG</v>
      </c>
      <c r="D75" s="8">
        <v>0</v>
      </c>
      <c r="E75" s="12" t="str">
        <v>KG</v>
      </c>
      <c r="F75" s="12">
        <v>7</v>
      </c>
      <c r="G75" s="14">
        <v>53.9</v>
      </c>
      <c r="H75" s="32">
        <v>12395937</v>
      </c>
    </row>
    <row r="76" spans="1:8" x14ac:dyDescent="0.25">
      <c r="A76" s="17">
        <v>25</v>
      </c>
      <c r="B76" s="5">
        <v>5664</v>
      </c>
      <c r="C76" s="10" t="str">
        <v>INGEFÆR KG / GINGER KG</v>
      </c>
      <c r="D76" s="8">
        <v>0</v>
      </c>
      <c r="E76" s="12" t="str">
        <v>KG</v>
      </c>
      <c r="F76" s="12">
        <v>3</v>
      </c>
      <c r="G76" s="14">
        <v>102.9</v>
      </c>
      <c r="H76" s="32">
        <v>11000898</v>
      </c>
    </row>
    <row r="77" spans="1:8" x14ac:dyDescent="0.25">
      <c r="A77" s="17">
        <v>26</v>
      </c>
      <c r="B77" s="5">
        <v>2000554800000</v>
      </c>
      <c r="C77" s="10" t="str">
        <v>ISBERG STK / ISBERG LETTUCE PCS</v>
      </c>
      <c r="D77" s="8">
        <v>0</v>
      </c>
      <c r="E77" s="12" t="str">
        <v>STK/PCS</v>
      </c>
      <c r="F77" s="12">
        <v>10</v>
      </c>
      <c r="G77" s="14">
        <v>36.9</v>
      </c>
      <c r="H77" s="32">
        <v>11887344</v>
      </c>
    </row>
    <row r="78" spans="1:8" x14ac:dyDescent="0.25">
      <c r="A78" s="17">
        <v>27</v>
      </c>
      <c r="B78" s="5">
        <v>5358</v>
      </c>
      <c r="C78" s="10" t="str">
        <v>JORDSKOKK KG / JERUSALEM ARTICHOKE KG</v>
      </c>
      <c r="D78" s="8">
        <v>0</v>
      </c>
      <c r="E78" s="12" t="str">
        <v>KG</v>
      </c>
      <c r="F78" s="12">
        <v>5</v>
      </c>
      <c r="G78" s="14">
        <v>114.9</v>
      </c>
      <c r="H78" s="32">
        <v>11000903</v>
      </c>
    </row>
    <row r="79" spans="1:8" x14ac:dyDescent="0.25">
      <c r="A79" s="17">
        <v>28</v>
      </c>
      <c r="B79" s="5">
        <v>20000558200000</v>
      </c>
      <c r="C79" s="10" t="str">
        <v>KINAKÅL STK / CHINESE CABBAGE PCS</v>
      </c>
      <c r="D79" s="8">
        <v>0</v>
      </c>
      <c r="E79" s="12" t="str">
        <v>STK/PCS</v>
      </c>
      <c r="F79" s="12">
        <v>10</v>
      </c>
      <c r="G79" s="14">
        <v>38.9</v>
      </c>
      <c r="H79" s="32">
        <v>11000950</v>
      </c>
    </row>
    <row r="80" spans="1:8" x14ac:dyDescent="0.25">
      <c r="A80" s="17">
        <v>29</v>
      </c>
      <c r="B80" s="5">
        <v>5571</v>
      </c>
      <c r="C80" s="10" t="str">
        <v>KNUTEKÅL KG / TURNIP KALE KG</v>
      </c>
      <c r="D80" s="8">
        <v>0</v>
      </c>
      <c r="E80" s="12" t="str">
        <v>KG</v>
      </c>
      <c r="F80" s="12">
        <v>7</v>
      </c>
      <c r="G80" s="14">
        <v>57.9</v>
      </c>
      <c r="H80" s="32">
        <v>13793031</v>
      </c>
    </row>
    <row r="81" spans="1:8" x14ac:dyDescent="0.25">
      <c r="A81" s="17">
        <v>30</v>
      </c>
      <c r="B81" s="5">
        <v>5536</v>
      </c>
      <c r="C81" s="10" t="str">
        <v>KÅLROT KG / RUTABAGA KG</v>
      </c>
      <c r="D81" s="8">
        <v>0</v>
      </c>
      <c r="E81" s="12" t="str">
        <v>KG</v>
      </c>
      <c r="F81" s="12">
        <v>15</v>
      </c>
      <c r="G81" s="14">
        <v>31.9</v>
      </c>
      <c r="H81" s="32">
        <v>11000968</v>
      </c>
    </row>
    <row r="82" spans="1:8" x14ac:dyDescent="0.25">
      <c r="A82" s="17">
        <v>31</v>
      </c>
      <c r="B82" s="5">
        <v>2000562400000</v>
      </c>
      <c r="C82" s="10" t="str">
        <v>LØK HVITLØK 500G FLETTE / GARLIC BRADE 500G</v>
      </c>
      <c r="D82" s="8">
        <v>0</v>
      </c>
      <c r="E82" s="12" t="str">
        <v>STK/PCS</v>
      </c>
      <c r="F82" s="12">
        <v>8</v>
      </c>
      <c r="G82" s="14">
        <v>78.900000000000006</v>
      </c>
      <c r="H82" s="32">
        <v>11887340</v>
      </c>
    </row>
    <row r="83" spans="1:8" x14ac:dyDescent="0.25">
      <c r="A83" s="17">
        <v>32</v>
      </c>
      <c r="B83" s="5">
        <v>5676</v>
      </c>
      <c r="C83" s="10" t="str">
        <v>LØK HVITLØK FERSK KG / GARLIC FRESH KG</v>
      </c>
      <c r="D83" s="8">
        <v>0</v>
      </c>
      <c r="E83" s="12" t="str">
        <v>KG</v>
      </c>
      <c r="F83" s="12">
        <v>4</v>
      </c>
      <c r="G83" s="14">
        <v>232.9</v>
      </c>
      <c r="H83" s="32">
        <v>0</v>
      </c>
    </row>
    <row r="84" spans="1:8" x14ac:dyDescent="0.25">
      <c r="A84" s="17">
        <v>33</v>
      </c>
      <c r="B84" s="5">
        <v>2000585100000</v>
      </c>
      <c r="C84" s="10" t="str">
        <v>LØK HVITLØK KINA 100G / CHINESE GARLIC 100G</v>
      </c>
      <c r="D84" s="8">
        <v>0</v>
      </c>
      <c r="E84" s="12" t="str">
        <v>STK/PCS</v>
      </c>
      <c r="F84" s="12">
        <v>30</v>
      </c>
      <c r="G84" s="14">
        <v>27.9</v>
      </c>
      <c r="H84" s="32">
        <v>11000976</v>
      </c>
    </row>
    <row r="85" spans="1:8" x14ac:dyDescent="0.25">
      <c r="A85" s="17">
        <v>34</v>
      </c>
      <c r="B85" s="5">
        <v>2000562500000</v>
      </c>
      <c r="C85" s="10" t="str">
        <v>LØK HVITLØK 100G / GARLIC 100G</v>
      </c>
      <c r="D85" s="8">
        <v>0</v>
      </c>
      <c r="E85" s="12" t="str">
        <v>STK/PCS</v>
      </c>
      <c r="F85" s="12">
        <v>25</v>
      </c>
      <c r="G85" s="14">
        <v>22.9</v>
      </c>
      <c r="H85" s="32">
        <v>11000974</v>
      </c>
    </row>
    <row r="86" spans="1:8" x14ac:dyDescent="0.25">
      <c r="A86" s="17">
        <v>35</v>
      </c>
      <c r="B86" s="5">
        <v>2000532000000</v>
      </c>
      <c r="C86" s="10" t="str">
        <v>LØK STJERNELØK 250G / BABY ONION 250G</v>
      </c>
      <c r="D86" s="8">
        <v>0</v>
      </c>
      <c r="E86" s="12" t="str">
        <v>STK/PCS</v>
      </c>
      <c r="F86" s="12">
        <v>20</v>
      </c>
      <c r="G86" s="14">
        <v>21.9</v>
      </c>
      <c r="H86" s="32">
        <v>0</v>
      </c>
    </row>
    <row r="87" spans="1:8" x14ac:dyDescent="0.25">
      <c r="A87" s="17">
        <v>36</v>
      </c>
      <c r="B87" s="5">
        <v>2000532300000</v>
      </c>
      <c r="C87" s="10" t="str">
        <v>LØK RØD STRØMPE 400G / RED ONION 400G</v>
      </c>
      <c r="D87" s="8">
        <v>0</v>
      </c>
      <c r="E87" s="12" t="str">
        <v>STK/PCS</v>
      </c>
      <c r="F87" s="12">
        <v>14</v>
      </c>
      <c r="G87" s="14">
        <v>22.9</v>
      </c>
      <c r="H87" s="32">
        <v>11000973</v>
      </c>
    </row>
    <row r="88" spans="1:8" x14ac:dyDescent="0.25">
      <c r="A88" s="17">
        <v>37</v>
      </c>
      <c r="B88" s="5">
        <v>2000598700000</v>
      </c>
      <c r="C88" s="10" t="str">
        <v>LØK SJALOTT 250G / SHALLOTS 250G</v>
      </c>
      <c r="D88" s="8">
        <v>0</v>
      </c>
      <c r="E88" s="12" t="str">
        <v>STK/PCS</v>
      </c>
      <c r="F88" s="12">
        <v>20</v>
      </c>
      <c r="G88" s="14">
        <v>18.899999999999999</v>
      </c>
      <c r="H88" s="32">
        <v>12223050</v>
      </c>
    </row>
    <row r="89" spans="1:8" x14ac:dyDescent="0.25">
      <c r="A89" s="17">
        <v>38</v>
      </c>
      <c r="B89" s="5">
        <v>5610</v>
      </c>
      <c r="C89" s="10" t="str">
        <v>LØK GUL KG / ONION YELLOW KG</v>
      </c>
      <c r="D89" s="8">
        <v>0</v>
      </c>
      <c r="E89" s="12" t="str">
        <v>KG</v>
      </c>
      <c r="F89" s="12">
        <v>11</v>
      </c>
      <c r="G89" s="14">
        <v>34.9</v>
      </c>
      <c r="H89" s="32">
        <v>11887388</v>
      </c>
    </row>
    <row r="90" spans="1:8" x14ac:dyDescent="0.25">
      <c r="A90" s="17">
        <v>39</v>
      </c>
      <c r="B90" s="5">
        <v>5629</v>
      </c>
      <c r="C90" s="10" t="str">
        <v>MAIS KOLBE KOKT 2STK / CORN ON A COB 2PCS</v>
      </c>
      <c r="D90" s="8">
        <v>0</v>
      </c>
      <c r="E90" s="12" t="str">
        <v>STK/PCS</v>
      </c>
      <c r="F90" s="12">
        <v>12</v>
      </c>
      <c r="G90" s="14">
        <v>27.9</v>
      </c>
      <c r="H90" s="32">
        <v>12049457</v>
      </c>
    </row>
    <row r="91" spans="1:8" x14ac:dyDescent="0.25">
      <c r="A91" s="17">
        <v>40</v>
      </c>
      <c r="B91" s="5">
        <v>2000560100000</v>
      </c>
      <c r="C91" s="10" t="str">
        <v>NEPE KG / TURNIP KG</v>
      </c>
      <c r="D91" s="8">
        <v>0</v>
      </c>
      <c r="E91" s="12" t="str">
        <v>KG</v>
      </c>
      <c r="F91" s="12">
        <v>6</v>
      </c>
      <c r="G91" s="14">
        <v>50.75</v>
      </c>
      <c r="H91" s="32">
        <v>11001059</v>
      </c>
    </row>
    <row r="92" spans="1:8" x14ac:dyDescent="0.25">
      <c r="A92" s="17">
        <v>41</v>
      </c>
      <c r="B92" s="5">
        <v>2000536600000</v>
      </c>
      <c r="C92" s="10" t="str">
        <v>PAK CHOY STK / PAK CHOY PCS</v>
      </c>
      <c r="D92" s="8">
        <v>0</v>
      </c>
      <c r="E92" s="12" t="str">
        <v>STK/PCS</v>
      </c>
      <c r="F92" s="12">
        <v>10</v>
      </c>
      <c r="G92" s="14">
        <v>42.9</v>
      </c>
      <c r="H92" s="32">
        <v>13800242</v>
      </c>
    </row>
    <row r="93" spans="1:8" x14ac:dyDescent="0.25">
      <c r="A93" s="17">
        <v>42</v>
      </c>
      <c r="B93" s="5">
        <v>5530</v>
      </c>
      <c r="C93" s="10" t="str">
        <v>PAPRIKA GRØNN KG / GREEN PEPPER KG</v>
      </c>
      <c r="D93" s="8">
        <v>0</v>
      </c>
      <c r="E93" s="12" t="str">
        <v>KG</v>
      </c>
      <c r="F93" s="12">
        <v>4</v>
      </c>
      <c r="G93" s="14">
        <v>81.900000000000006</v>
      </c>
      <c r="H93" s="32">
        <v>11000985</v>
      </c>
    </row>
    <row r="94" spans="1:8" x14ac:dyDescent="0.25">
      <c r="A94" s="17">
        <v>43</v>
      </c>
      <c r="B94" s="5">
        <v>5528</v>
      </c>
      <c r="C94" s="10" t="str">
        <v>PAPRIKA GUL KG / YELLOW PEPPER KG</v>
      </c>
      <c r="D94" s="8">
        <v>0</v>
      </c>
      <c r="E94" s="12" t="str">
        <v>KG</v>
      </c>
      <c r="F94" s="12">
        <v>4</v>
      </c>
      <c r="G94" s="14">
        <v>96.9</v>
      </c>
      <c r="H94" s="32">
        <v>11000984</v>
      </c>
    </row>
    <row r="95" spans="1:8" x14ac:dyDescent="0.25">
      <c r="A95" s="17">
        <v>44</v>
      </c>
      <c r="B95" s="5">
        <v>2000598600000</v>
      </c>
      <c r="C95" s="10" t="str">
        <v>PAPRIKA MIX 3STK / BELLPEPPER MIX 3 PCS</v>
      </c>
      <c r="D95" s="8">
        <v>0</v>
      </c>
      <c r="E95" s="12" t="str">
        <v>STK/PCS</v>
      </c>
      <c r="F95" s="12">
        <v>11</v>
      </c>
      <c r="G95" s="14">
        <v>37.9</v>
      </c>
      <c r="H95" s="32">
        <v>0</v>
      </c>
    </row>
    <row r="96" spans="1:8" x14ac:dyDescent="0.25">
      <c r="A96" s="17">
        <v>45</v>
      </c>
      <c r="B96" s="5">
        <v>5529</v>
      </c>
      <c r="C96" s="10" t="str">
        <v>PAPRIKA ORANGE KG / PEPPER ORANGE KG</v>
      </c>
      <c r="D96" s="8">
        <v>0</v>
      </c>
      <c r="E96" s="12" t="str">
        <v>KG</v>
      </c>
      <c r="F96" s="12">
        <v>4</v>
      </c>
      <c r="G96" s="14">
        <v>98.9</v>
      </c>
      <c r="H96" s="32">
        <v>0</v>
      </c>
    </row>
    <row r="97" spans="1:8" x14ac:dyDescent="0.25">
      <c r="A97" s="17">
        <v>46</v>
      </c>
      <c r="B97" s="5">
        <v>5526</v>
      </c>
      <c r="C97" s="10" t="str">
        <v>PAPRIKA RØD KG / PEPPER RED KG</v>
      </c>
      <c r="D97" s="8">
        <v>0</v>
      </c>
      <c r="E97" s="12" t="str">
        <v>KG</v>
      </c>
      <c r="F97" s="12">
        <v>5</v>
      </c>
      <c r="G97" s="14">
        <v>146</v>
      </c>
      <c r="H97" s="32">
        <v>11000983</v>
      </c>
    </row>
    <row r="98" spans="1:8" x14ac:dyDescent="0.25">
      <c r="A98" s="17">
        <v>47</v>
      </c>
      <c r="B98" s="5">
        <v>200054900000</v>
      </c>
      <c r="C98" s="10" t="str">
        <v>PAPRIKA SNACK PK / SNACK PEPPER PCS</v>
      </c>
      <c r="D98" s="8">
        <v>0</v>
      </c>
      <c r="E98" s="12" t="str">
        <v>STK/PCS</v>
      </c>
      <c r="F98" s="12">
        <v>12</v>
      </c>
      <c r="G98" s="14">
        <v>45.9</v>
      </c>
      <c r="H98" s="32">
        <v>0</v>
      </c>
    </row>
    <row r="99" spans="1:8" x14ac:dyDescent="0.25">
      <c r="A99" s="17">
        <v>48</v>
      </c>
      <c r="B99" s="5">
        <v>2000607000000</v>
      </c>
      <c r="C99" s="10" t="str">
        <v>PASTINAKK ÄNGLAMARK 200G / PARSNIPS 200G</v>
      </c>
      <c r="D99" s="8">
        <v>0</v>
      </c>
      <c r="E99" s="12" t="str">
        <v>STK/PCS</v>
      </c>
      <c r="F99" s="12">
        <v>10</v>
      </c>
      <c r="G99" s="14">
        <v>28.9</v>
      </c>
      <c r="H99" s="32">
        <v>11000901</v>
      </c>
    </row>
    <row r="100" spans="1:8" x14ac:dyDescent="0.25">
      <c r="A100" s="17">
        <v>49</v>
      </c>
      <c r="B100" s="5">
        <v>5658</v>
      </c>
      <c r="C100" s="10" t="str">
        <v>PEPPERROT KG / HORSERADISH KG</v>
      </c>
      <c r="D100" s="8">
        <v>0</v>
      </c>
      <c r="E100" s="12" t="str">
        <v>KG</v>
      </c>
      <c r="F100" s="12">
        <v>5</v>
      </c>
      <c r="G100" s="14">
        <v>154.9</v>
      </c>
      <c r="H100" s="32">
        <v>11000895</v>
      </c>
    </row>
    <row r="101" spans="1:8" x14ac:dyDescent="0.25">
      <c r="A101" s="17">
        <v>50</v>
      </c>
      <c r="B101" s="5">
        <v>2000565700000</v>
      </c>
      <c r="C101" s="10" t="str">
        <v>PEPPERROT TUBE STK / HORSERADISH PASTE PCS</v>
      </c>
      <c r="D101" s="8">
        <v>0</v>
      </c>
      <c r="E101" s="12" t="str">
        <v>STK/PCS</v>
      </c>
      <c r="F101" s="12">
        <v>24</v>
      </c>
      <c r="G101" s="14">
        <v>19.899999999999999</v>
      </c>
      <c r="H101" s="32">
        <v>0</v>
      </c>
    </row>
    <row r="102" spans="1:8" x14ac:dyDescent="0.25">
      <c r="A102" s="17">
        <v>51</v>
      </c>
      <c r="B102" s="5">
        <v>2000595400000</v>
      </c>
      <c r="C102" s="10" t="str">
        <v>PERSILLEROT 200G / PARSLEY ROOT 200G</v>
      </c>
      <c r="D102" s="8">
        <v>0</v>
      </c>
      <c r="E102" s="12" t="str">
        <v>STK/PCS</v>
      </c>
      <c r="F102" s="12">
        <v>10</v>
      </c>
      <c r="G102" s="14">
        <v>29.9</v>
      </c>
      <c r="H102" s="32">
        <v>13774143</v>
      </c>
    </row>
    <row r="103" spans="1:8" x14ac:dyDescent="0.25">
      <c r="A103" s="17">
        <v>52</v>
      </c>
      <c r="B103" s="5">
        <v>5683</v>
      </c>
      <c r="C103" s="10" t="str">
        <v>POTET ASSORTERT LØS KG NO / POTATO ASSORTED KG</v>
      </c>
      <c r="D103" s="8">
        <v>0</v>
      </c>
      <c r="E103" s="12" t="str">
        <v>KG</v>
      </c>
      <c r="F103" s="12">
        <v>15</v>
      </c>
      <c r="G103" s="14">
        <v>22.9</v>
      </c>
      <c r="H103" s="32">
        <v>11000993</v>
      </c>
    </row>
    <row r="104" spans="1:8" x14ac:dyDescent="0.25">
      <c r="A104" s="17">
        <v>53</v>
      </c>
      <c r="B104" s="5">
        <v>5695</v>
      </c>
      <c r="C104" s="10" t="str">
        <v>POTET BAKEPOTET KG / BAKING POTATO KG</v>
      </c>
      <c r="D104" s="8">
        <v>0</v>
      </c>
      <c r="E104" s="12" t="str">
        <v>KG</v>
      </c>
      <c r="F104" s="12">
        <v>6</v>
      </c>
      <c r="G104" s="14">
        <v>39.9</v>
      </c>
      <c r="H104" s="32">
        <v>12390285</v>
      </c>
    </row>
    <row r="105" spans="1:8" x14ac:dyDescent="0.25">
      <c r="A105" s="17">
        <v>54</v>
      </c>
      <c r="B105" s="5">
        <v>2000544600000</v>
      </c>
      <c r="C105" s="10" t="str">
        <v>POTET  SMÅ 850G / BABY POTATO 850G</v>
      </c>
      <c r="D105" s="8">
        <v>0</v>
      </c>
      <c r="E105" s="12" t="str">
        <v>STK/PCS</v>
      </c>
      <c r="F105" s="12">
        <v>9</v>
      </c>
      <c r="G105" s="14">
        <v>32.9</v>
      </c>
      <c r="H105" s="32">
        <v>13798927</v>
      </c>
    </row>
    <row r="106" spans="1:8" x14ac:dyDescent="0.25">
      <c r="A106" s="17">
        <v>55</v>
      </c>
      <c r="B106" s="5">
        <v>5538</v>
      </c>
      <c r="C106" s="10" t="str">
        <v>PURRE KG / LEEK KG</v>
      </c>
      <c r="D106" s="8">
        <v>0</v>
      </c>
      <c r="E106" s="12" t="str">
        <v>KG</v>
      </c>
      <c r="F106" s="12">
        <v>5</v>
      </c>
      <c r="G106" s="14">
        <v>68.900000000000006</v>
      </c>
      <c r="H106" s="32">
        <v>11001065</v>
      </c>
    </row>
    <row r="107" spans="1:8" x14ac:dyDescent="0.25">
      <c r="A107" s="17">
        <v>56</v>
      </c>
      <c r="B107" s="5">
        <v>2000653800000</v>
      </c>
      <c r="C107" s="10" t="str">
        <v>PURRE ÄNGLAMARK KG / LEEK ORGANIC KG</v>
      </c>
      <c r="D107" s="8">
        <v>0</v>
      </c>
      <c r="E107" s="12" t="str">
        <v>KG</v>
      </c>
      <c r="F107" s="12">
        <v>4</v>
      </c>
      <c r="G107" s="14">
        <v>91.9</v>
      </c>
      <c r="H107" s="32">
        <v>0</v>
      </c>
    </row>
    <row r="108" spans="1:8" x14ac:dyDescent="0.25">
      <c r="A108" s="17">
        <v>57</v>
      </c>
      <c r="B108" s="5">
        <v>2000559900000</v>
      </c>
      <c r="C108" s="10" t="str">
        <v>REDDIK 150G PK / RADISH 150G</v>
      </c>
      <c r="D108" s="8">
        <v>0</v>
      </c>
      <c r="E108" s="12" t="str">
        <v>STK/PCS</v>
      </c>
      <c r="F108" s="12">
        <v>16</v>
      </c>
      <c r="G108" s="14">
        <v>28.9</v>
      </c>
      <c r="H108" s="32">
        <v>12395942</v>
      </c>
    </row>
    <row r="109" spans="1:8" x14ac:dyDescent="0.25">
      <c r="A109" s="17">
        <v>58</v>
      </c>
      <c r="B109" s="5">
        <v>2000604800000</v>
      </c>
      <c r="C109" s="10" t="str">
        <v>ROTMIX ÄNGLAMARK 1KG / ROOTMIX 1KG</v>
      </c>
      <c r="D109" s="8">
        <v>0</v>
      </c>
      <c r="E109" s="12" t="str">
        <v>STK/PCS</v>
      </c>
      <c r="F109" s="12">
        <v>9</v>
      </c>
      <c r="G109" s="14">
        <v>57.9</v>
      </c>
      <c r="H109" s="32">
        <v>0</v>
      </c>
    </row>
    <row r="110" spans="1:8" x14ac:dyDescent="0.25">
      <c r="A110" s="17">
        <v>59</v>
      </c>
      <c r="B110" s="5">
        <v>2000606600000</v>
      </c>
      <c r="C110" s="10" t="str">
        <v>RØDBETE ÄNGLAMARK 750G / BEETROOT 750G</v>
      </c>
      <c r="D110" s="8">
        <v>0</v>
      </c>
      <c r="E110" s="12" t="str">
        <v>STK/PCS</v>
      </c>
      <c r="F110" s="12">
        <v>8</v>
      </c>
      <c r="G110" s="14">
        <v>61.9</v>
      </c>
      <c r="H110" s="32">
        <v>11001071</v>
      </c>
    </row>
    <row r="111" spans="1:8" x14ac:dyDescent="0.25">
      <c r="A111" s="17">
        <v>64</v>
      </c>
      <c r="B111" s="5">
        <v>5542</v>
      </c>
      <c r="C111" s="10" t="str">
        <v>SELLERIROT KG / CELERY ROOT KG</v>
      </c>
      <c r="D111" s="8">
        <v>0</v>
      </c>
      <c r="E111" s="12" t="str">
        <v>KG</v>
      </c>
      <c r="F111" s="12">
        <v>5</v>
      </c>
      <c r="G111" s="14">
        <v>69.900000000000006</v>
      </c>
      <c r="H111" s="32">
        <v>11001067</v>
      </c>
    </row>
    <row r="112" spans="1:8" x14ac:dyDescent="0.25">
      <c r="A112" s="17">
        <v>65</v>
      </c>
      <c r="B112" s="5">
        <v>5449</v>
      </c>
      <c r="C112" s="10" t="str">
        <v>SOPP AROMA KG / MUSHROOM AROMA KG</v>
      </c>
      <c r="D112" s="8">
        <v>0</v>
      </c>
      <c r="E112" s="12" t="str">
        <v>KG</v>
      </c>
      <c r="F112" s="12">
        <v>3</v>
      </c>
      <c r="G112" s="14">
        <v>107.9</v>
      </c>
      <c r="H112" s="32">
        <v>11001021</v>
      </c>
    </row>
    <row r="113" spans="1:8" x14ac:dyDescent="0.25">
      <c r="A113" s="17">
        <v>66</v>
      </c>
      <c r="B113" s="5">
        <v>6032</v>
      </c>
      <c r="C113" s="10" t="str">
        <v>SOPP PORTABELLO KG  / MUSHROOM PORTOBELLO KG</v>
      </c>
      <c r="D113" s="8">
        <v>0</v>
      </c>
      <c r="E113" s="12" t="str">
        <v>KG</v>
      </c>
      <c r="F113" s="12">
        <v>1</v>
      </c>
      <c r="G113" s="14">
        <v>147.9</v>
      </c>
      <c r="H113" s="32">
        <v>11001022</v>
      </c>
    </row>
    <row r="114" spans="1:8" x14ac:dyDescent="0.25">
      <c r="A114" s="17">
        <v>67</v>
      </c>
      <c r="B114" s="5">
        <v>6021</v>
      </c>
      <c r="C114" s="10" t="str">
        <v>SOPP SHI TAKE KG  / MUSHROOM SHI TAKE KG</v>
      </c>
      <c r="D114" s="8">
        <v>0</v>
      </c>
      <c r="E114" s="12" t="str">
        <v>KG</v>
      </c>
      <c r="F114" s="12">
        <v>2</v>
      </c>
      <c r="G114" s="14">
        <v>254.9</v>
      </c>
      <c r="H114" s="32">
        <v>11001017</v>
      </c>
    </row>
    <row r="115" spans="1:8" x14ac:dyDescent="0.25">
      <c r="A115" s="17">
        <v>68</v>
      </c>
      <c r="B115" s="5">
        <v>5554</v>
      </c>
      <c r="C115" s="10" t="str">
        <v>SOPP SJAMPINJONG KG  / MUSHROOM KG</v>
      </c>
      <c r="D115" s="8">
        <v>0</v>
      </c>
      <c r="E115" s="12" t="str">
        <v>KG</v>
      </c>
      <c r="F115" s="12">
        <v>3</v>
      </c>
      <c r="G115" s="14">
        <v>74.900000000000006</v>
      </c>
      <c r="H115" s="32">
        <v>11001016</v>
      </c>
    </row>
    <row r="116" spans="1:8" x14ac:dyDescent="0.25">
      <c r="A116" s="17">
        <v>69</v>
      </c>
      <c r="B116" s="5">
        <v>5555</v>
      </c>
      <c r="C116" s="10" t="str">
        <v>SOPP ØSTERS KG  / MUSHROOM OYSTER KG</v>
      </c>
      <c r="D116" s="8">
        <v>0</v>
      </c>
      <c r="E116" s="12" t="str">
        <v>KG</v>
      </c>
      <c r="F116" s="12">
        <v>1</v>
      </c>
      <c r="G116" s="14">
        <v>114.9</v>
      </c>
      <c r="H116" s="32">
        <v>11001019</v>
      </c>
    </row>
    <row r="117" spans="1:8" x14ac:dyDescent="0.25">
      <c r="A117" s="17">
        <v>70</v>
      </c>
      <c r="B117" s="5">
        <v>2000606700000</v>
      </c>
      <c r="C117" s="10" t="str">
        <v>SPIRE ALFALFA ØKO STK / ALFA SPROUT PCS</v>
      </c>
      <c r="D117" s="8">
        <v>0</v>
      </c>
      <c r="E117" s="12" t="str">
        <v>STK/PCS</v>
      </c>
      <c r="F117" s="12">
        <v>8</v>
      </c>
      <c r="G117" s="14">
        <v>27.9</v>
      </c>
      <c r="H117" s="32">
        <v>0</v>
      </c>
    </row>
    <row r="118" spans="1:8" x14ac:dyDescent="0.25">
      <c r="A118" s="17">
        <v>71</v>
      </c>
      <c r="B118" s="5">
        <v>2000606900000</v>
      </c>
      <c r="C118" s="10" t="str">
        <v>SPIRE BROKKOLI ØKO 50G / BROCCOLI SPROUT 50G</v>
      </c>
      <c r="D118" s="8">
        <v>0</v>
      </c>
      <c r="E118" s="12" t="str">
        <v>STK/PCS</v>
      </c>
      <c r="F118" s="12">
        <v>7</v>
      </c>
      <c r="G118" s="14">
        <v>28.9</v>
      </c>
      <c r="H118" s="32">
        <v>0</v>
      </c>
    </row>
    <row r="119" spans="1:8" x14ac:dyDescent="0.25">
      <c r="A119" s="17">
        <v>72</v>
      </c>
      <c r="B119" s="5">
        <v>2000611200000</v>
      </c>
      <c r="C119" s="10" t="str">
        <v>SPIRE BØNNE ØKO 180G / BEEN SPROUT 180G</v>
      </c>
      <c r="D119" s="8">
        <v>0</v>
      </c>
      <c r="E119" s="12" t="str">
        <v>STK/PCS</v>
      </c>
      <c r="F119" s="12">
        <v>12</v>
      </c>
      <c r="G119" s="14">
        <v>28.9</v>
      </c>
      <c r="H119" s="32">
        <v>11001072</v>
      </c>
    </row>
    <row r="120" spans="1:8" x14ac:dyDescent="0.25">
      <c r="A120" s="17">
        <v>73</v>
      </c>
      <c r="B120" s="5">
        <v>2000606300000</v>
      </c>
      <c r="C120" s="10" t="str">
        <v>SPIRE KLØVER ØKO 50G CLOVER SPROUT 50G</v>
      </c>
      <c r="D120" s="8">
        <v>0</v>
      </c>
      <c r="E120" s="12" t="str">
        <v>STK/PCS</v>
      </c>
      <c r="F120" s="12">
        <v>7</v>
      </c>
      <c r="G120" s="14">
        <v>28.9</v>
      </c>
      <c r="H120" s="32">
        <v>0</v>
      </c>
    </row>
    <row r="121" spans="1:8" x14ac:dyDescent="0.25">
      <c r="A121" s="17">
        <v>74</v>
      </c>
      <c r="B121" s="5">
        <v>2000606500000</v>
      </c>
      <c r="C121" s="10" t="str">
        <v>SPIRE REDDIK ØKO 50G / RADISH SPROUT 50G</v>
      </c>
      <c r="D121" s="8">
        <v>0</v>
      </c>
      <c r="E121" s="12" t="str">
        <v>STK/PCS</v>
      </c>
      <c r="F121" s="12">
        <v>7</v>
      </c>
      <c r="G121" s="14">
        <v>28.9</v>
      </c>
      <c r="H121" s="32">
        <v>0</v>
      </c>
    </row>
    <row r="122" spans="1:8" x14ac:dyDescent="0.25">
      <c r="A122" s="17">
        <v>75</v>
      </c>
      <c r="B122" s="5">
        <v>5520</v>
      </c>
      <c r="C122" s="10" t="str">
        <v>SQUASH STK / ZUCCHINI PCS</v>
      </c>
      <c r="D122" s="8">
        <v>0</v>
      </c>
      <c r="E122" s="12" t="str">
        <v>STK/PCS</v>
      </c>
      <c r="F122" s="12">
        <v>11</v>
      </c>
      <c r="G122" s="14">
        <v>28.9</v>
      </c>
      <c r="H122" s="32">
        <v>11001060</v>
      </c>
    </row>
    <row r="123" spans="1:8" x14ac:dyDescent="0.25">
      <c r="A123" s="17">
        <v>76</v>
      </c>
      <c r="B123" s="5">
        <v>2000595700000</v>
      </c>
      <c r="C123" s="10" t="str">
        <v>STANGSELLERI STK / CELERY PCS</v>
      </c>
      <c r="D123" s="8">
        <v>0</v>
      </c>
      <c r="E123" s="12" t="str">
        <v>STK/PCS</v>
      </c>
      <c r="F123" s="12">
        <v>11</v>
      </c>
      <c r="G123" s="14">
        <v>39.9</v>
      </c>
      <c r="H123" s="32">
        <v>11001068</v>
      </c>
    </row>
    <row r="124" spans="1:8" x14ac:dyDescent="0.25">
      <c r="A124" s="17">
        <v>77</v>
      </c>
      <c r="B124" s="5">
        <v>2000604200000</v>
      </c>
      <c r="C124" s="10" t="str">
        <v>SVARTKÅL 200G / BLACK CABBAGE 200G</v>
      </c>
      <c r="D124" s="8">
        <v>0</v>
      </c>
      <c r="E124" s="12" t="str">
        <v>STK/PCS</v>
      </c>
      <c r="F124" s="12">
        <v>6</v>
      </c>
      <c r="G124" s="14">
        <v>46.9</v>
      </c>
      <c r="H124" s="32">
        <v>0</v>
      </c>
    </row>
    <row r="125" spans="1:8" x14ac:dyDescent="0.25">
      <c r="A125" s="17">
        <v>78</v>
      </c>
      <c r="B125" s="5">
        <v>2000515100000</v>
      </c>
      <c r="C125" s="10" t="str">
        <v>SUKKERERT RUNDE 150G / SUGARSNAPP PEAS 150G</v>
      </c>
      <c r="D125" s="8">
        <v>0</v>
      </c>
      <c r="E125" s="12" t="str">
        <v>STK/PCS</v>
      </c>
      <c r="F125" s="12">
        <v>13</v>
      </c>
      <c r="G125" s="14">
        <v>36.9</v>
      </c>
      <c r="H125" s="32">
        <v>12049512</v>
      </c>
    </row>
    <row r="126" spans="1:8" x14ac:dyDescent="0.25">
      <c r="A126" s="17">
        <v>79</v>
      </c>
      <c r="B126" s="5">
        <v>5694</v>
      </c>
      <c r="C126" s="10" t="str">
        <v>SØTPOTET KG /SWEET POTATO KG</v>
      </c>
      <c r="D126" s="8">
        <v>0</v>
      </c>
      <c r="E126" s="12" t="str">
        <v>KG</v>
      </c>
      <c r="F126" s="12">
        <v>6</v>
      </c>
      <c r="G126" s="14">
        <v>39.9</v>
      </c>
      <c r="H126" s="32">
        <v>11000991</v>
      </c>
    </row>
    <row r="127" spans="1:8" x14ac:dyDescent="0.25">
      <c r="A127" s="17">
        <v>80</v>
      </c>
      <c r="B127" s="5">
        <v>5502</v>
      </c>
      <c r="C127" s="10" t="str">
        <v>TOMAT BIFF KG / STEAK TOMATO KG</v>
      </c>
      <c r="D127" s="8">
        <v>0</v>
      </c>
      <c r="E127" s="12" t="str">
        <v>KG</v>
      </c>
      <c r="F127" s="12">
        <v>7</v>
      </c>
      <c r="G127" s="14">
        <v>71.900000000000006</v>
      </c>
      <c r="H127" s="32">
        <v>11001024</v>
      </c>
    </row>
    <row r="128" spans="1:8" x14ac:dyDescent="0.25">
      <c r="A128" s="17">
        <v>81</v>
      </c>
      <c r="B128" s="5">
        <v>2000550400000</v>
      </c>
      <c r="C128" s="10" t="str">
        <v>TOMAT CHERRY 250G / CHERRY TOAMATO 250G</v>
      </c>
      <c r="D128" s="8">
        <v>0</v>
      </c>
      <c r="E128" s="12" t="str">
        <v>STK/PCS</v>
      </c>
      <c r="F128" s="12">
        <v>9</v>
      </c>
      <c r="G128" s="14">
        <v>33.9</v>
      </c>
      <c r="H128" s="32">
        <v>11001025</v>
      </c>
    </row>
    <row r="129" spans="1:8" x14ac:dyDescent="0.25">
      <c r="A129" s="17">
        <v>82</v>
      </c>
      <c r="B129" s="5">
        <v>2000522600000</v>
      </c>
      <c r="C129" s="10" t="str">
        <v>TOMAT FLAVANCE SMAK 400G / TOMATO FLAVANCE 400G</v>
      </c>
      <c r="D129" s="8">
        <v>0</v>
      </c>
      <c r="E129" s="12" t="str">
        <v>STK/PCS</v>
      </c>
      <c r="F129" s="12">
        <v>11</v>
      </c>
      <c r="G129" s="14">
        <v>45.9</v>
      </c>
      <c r="H129" s="32">
        <v>0</v>
      </c>
    </row>
    <row r="130" spans="1:8" x14ac:dyDescent="0.25">
      <c r="A130" s="17">
        <v>83</v>
      </c>
      <c r="B130" s="5">
        <v>5500</v>
      </c>
      <c r="C130" s="10" t="str">
        <v>TOMAT KG / TOMATO KG</v>
      </c>
      <c r="D130" s="8">
        <v>0</v>
      </c>
      <c r="E130" s="12" t="str">
        <v>KG</v>
      </c>
      <c r="F130" s="12">
        <v>6</v>
      </c>
      <c r="G130" s="14">
        <v>55.9</v>
      </c>
      <c r="H130" s="32">
        <v>11001023</v>
      </c>
    </row>
    <row r="131" spans="1:8" x14ac:dyDescent="0.25">
      <c r="A131" s="17">
        <v>84</v>
      </c>
      <c r="B131" s="5">
        <v>2000603300000</v>
      </c>
      <c r="C131" s="10" t="str">
        <v>TOMAT KLASE 500G NO / TOMATO ON THE VINE 500G</v>
      </c>
      <c r="D131" s="8">
        <v>0</v>
      </c>
      <c r="E131" s="12" t="str">
        <v>STK/PCS</v>
      </c>
      <c r="F131" s="12">
        <v>10</v>
      </c>
      <c r="G131" s="14">
        <v>39.9</v>
      </c>
      <c r="H131" s="32">
        <v>11887466</v>
      </c>
    </row>
    <row r="132" spans="1:8" x14ac:dyDescent="0.25">
      <c r="A132" s="17">
        <v>85</v>
      </c>
      <c r="B132" s="5">
        <v>2000521500000</v>
      </c>
      <c r="C132" s="10" t="str">
        <v>TOMAT PICCOLO 175G / TOMATO PICCOLO 175G</v>
      </c>
      <c r="D132" s="8">
        <v>0</v>
      </c>
      <c r="E132" s="12" t="str">
        <v>STK/PCS</v>
      </c>
      <c r="F132" s="12">
        <v>12</v>
      </c>
      <c r="G132" s="14">
        <v>34.9</v>
      </c>
      <c r="H132" s="32">
        <v>0</v>
      </c>
    </row>
    <row r="133" spans="1:8" x14ac:dyDescent="0.25">
      <c r="A133" s="17">
        <v>86</v>
      </c>
      <c r="B133" s="5">
        <v>2000562000000</v>
      </c>
      <c r="C133" s="10" t="str">
        <v>VÅRLØK BNT / SCALLIONS PCS</v>
      </c>
      <c r="D133" s="8">
        <v>0</v>
      </c>
      <c r="E133" s="12" t="str">
        <v>STK/PCS</v>
      </c>
      <c r="F133" s="12">
        <v>13</v>
      </c>
      <c r="G133" s="14">
        <v>34.9</v>
      </c>
      <c r="H133" s="32">
        <v>12049530</v>
      </c>
    </row>
    <row r="134" spans="1:8" x14ac:dyDescent="0.25">
      <c r="A134" s="17">
        <v>87</v>
      </c>
      <c r="B134" s="5">
        <v>0</v>
      </c>
      <c r="C134" s="10" t="str">
        <v>LEDIG</v>
      </c>
      <c r="D134" s="8">
        <v>0</v>
      </c>
      <c r="E134" s="12">
        <v>0</v>
      </c>
      <c r="F134" s="12">
        <v>0</v>
      </c>
      <c r="G134" s="14">
        <v>0</v>
      </c>
      <c r="H134" s="32">
        <v>0</v>
      </c>
    </row>
    <row r="135" spans="1:8" x14ac:dyDescent="0.25">
      <c r="A135" s="17">
        <v>88</v>
      </c>
      <c r="B135" s="5">
        <v>0</v>
      </c>
      <c r="C135" s="10" t="str">
        <v>LEDIG</v>
      </c>
      <c r="D135" s="8">
        <v>0</v>
      </c>
      <c r="E135" s="12">
        <v>0</v>
      </c>
      <c r="F135" s="12">
        <v>0</v>
      </c>
      <c r="G135" s="14">
        <v>0</v>
      </c>
      <c r="H135" s="32">
        <v>0</v>
      </c>
    </row>
    <row r="136" spans="1:8" x14ac:dyDescent="0.25">
      <c r="A136" s="17">
        <v>89</v>
      </c>
      <c r="B136" s="5">
        <v>0</v>
      </c>
      <c r="C136" s="10" t="str">
        <v>LEDIG</v>
      </c>
      <c r="D136" s="8">
        <v>0</v>
      </c>
      <c r="E136" s="12">
        <v>0</v>
      </c>
      <c r="F136" s="12">
        <v>0</v>
      </c>
      <c r="G136" s="14">
        <v>0</v>
      </c>
      <c r="H136" s="32">
        <v>0</v>
      </c>
    </row>
    <row r="137" spans="1:8" x14ac:dyDescent="0.25">
      <c r="A137" s="17">
        <v>90</v>
      </c>
      <c r="B137" s="5">
        <v>0</v>
      </c>
      <c r="C137" s="10" t="str">
        <v>LEDIG</v>
      </c>
      <c r="D137" s="8">
        <v>0</v>
      </c>
      <c r="E137" s="12">
        <v>0</v>
      </c>
      <c r="F137" s="12">
        <v>0</v>
      </c>
      <c r="G137" s="14">
        <v>0</v>
      </c>
      <c r="H137" s="32">
        <v>0</v>
      </c>
    </row>
    <row r="138" spans="1:8" x14ac:dyDescent="0.25">
      <c r="A138" s="17">
        <v>91</v>
      </c>
      <c r="B138" s="5">
        <v>0</v>
      </c>
      <c r="C138" s="10" t="str">
        <v>LEDIG</v>
      </c>
      <c r="D138" s="8">
        <v>0</v>
      </c>
      <c r="E138" s="12">
        <v>0</v>
      </c>
      <c r="F138" s="12">
        <v>0</v>
      </c>
      <c r="G138" s="14">
        <v>0</v>
      </c>
      <c r="H138" s="32">
        <v>0</v>
      </c>
    </row>
    <row r="139" spans="1:8" x14ac:dyDescent="0.25">
      <c r="A139" s="17"/>
      <c r="B139" s="5"/>
      <c r="C139" s="10"/>
      <c r="D139" s="8"/>
      <c r="E139" s="12"/>
      <c r="F139" s="12"/>
      <c r="G139" s="14"/>
      <c r="H139" s="32"/>
    </row>
    <row r="140" spans="1:8" x14ac:dyDescent="0.25">
      <c r="A140" s="17"/>
      <c r="B140" s="5"/>
      <c r="C140" s="10"/>
      <c r="D140" s="8"/>
      <c r="E140" s="12"/>
      <c r="F140" s="12"/>
      <c r="G140" s="14"/>
      <c r="H140" s="32"/>
    </row>
    <row r="141" spans="1:8" x14ac:dyDescent="0.25">
      <c r="A141" s="17"/>
      <c r="B141" s="5"/>
      <c r="C141" s="10"/>
      <c r="D141" s="8"/>
      <c r="E141" s="12"/>
      <c r="F141" s="12"/>
      <c r="G141" s="14"/>
      <c r="H141" s="32"/>
    </row>
    <row r="142" spans="1:8" x14ac:dyDescent="0.25">
      <c r="A142" s="17"/>
      <c r="B142" s="5"/>
      <c r="C142" s="10"/>
      <c r="D142" s="8"/>
      <c r="E142" s="12"/>
      <c r="F142" s="12"/>
      <c r="G142" s="14"/>
      <c r="H142" s="32"/>
    </row>
    <row r="143" spans="1:8" x14ac:dyDescent="0.25">
      <c r="A143" s="17"/>
      <c r="B143" s="5"/>
      <c r="C143" s="10"/>
      <c r="D143" s="8"/>
      <c r="E143" s="12"/>
      <c r="F143" s="12"/>
      <c r="G143" s="14"/>
      <c r="H143" s="32"/>
    </row>
    <row r="144" spans="1:8" x14ac:dyDescent="0.25">
      <c r="A144" s="17"/>
      <c r="B144" s="5"/>
      <c r="C144" s="10"/>
      <c r="D144" s="8"/>
      <c r="E144" s="12"/>
      <c r="F144" s="12"/>
      <c r="G144" s="14"/>
      <c r="H144" s="32"/>
    </row>
    <row r="145" spans="1:8" x14ac:dyDescent="0.25">
      <c r="A145" s="17"/>
      <c r="B145" s="5"/>
      <c r="C145" s="10"/>
      <c r="D145" s="8"/>
      <c r="E145" s="12"/>
      <c r="F145" s="12"/>
      <c r="G145" s="14"/>
      <c r="H145" s="32"/>
    </row>
    <row r="146" spans="1:8" x14ac:dyDescent="0.25">
      <c r="A146" s="17" cm="1">
        <f t="array" ref="A146:G172">Tabell2[[NUMMER]:[NOK]]</f>
        <v>1</v>
      </c>
      <c r="B146" s="5">
        <v>0</v>
      </c>
      <c r="C146" s="10" t="str">
        <v>BASILIKUM 100G / BASIL 100G</v>
      </c>
      <c r="D146" s="8">
        <v>0</v>
      </c>
      <c r="E146" s="12" t="str">
        <v>STK/PCS</v>
      </c>
      <c r="F146" s="12">
        <v>10</v>
      </c>
      <c r="G146" s="14">
        <v>29.9</v>
      </c>
      <c r="H146" s="32" cm="1">
        <f t="array" ref="H146:H172">Tabell2[V.NR KRAEMER]</f>
        <v>12049396</v>
      </c>
    </row>
    <row r="147" spans="1:8" x14ac:dyDescent="0.25">
      <c r="A147" s="17">
        <v>2</v>
      </c>
      <c r="B147" s="5">
        <v>0</v>
      </c>
      <c r="C147" s="10" t="str">
        <v>BLADPERSILLE 100G / LEAF PARSLEY 100G</v>
      </c>
      <c r="D147" s="8">
        <v>0</v>
      </c>
      <c r="E147" s="12" t="str">
        <v>STK/PCS</v>
      </c>
      <c r="F147" s="12">
        <v>10</v>
      </c>
      <c r="G147" s="14">
        <v>29.9</v>
      </c>
      <c r="H147" s="32">
        <v>11001085</v>
      </c>
    </row>
    <row r="148" spans="1:8" x14ac:dyDescent="0.25">
      <c r="A148" s="17">
        <v>3</v>
      </c>
      <c r="B148" s="5">
        <v>0</v>
      </c>
      <c r="C148" s="10" t="str">
        <v>DILL 100G / DILL 100G</v>
      </c>
      <c r="D148" s="8">
        <v>0</v>
      </c>
      <c r="E148" s="12" t="str">
        <v>STK/PCS</v>
      </c>
      <c r="F148" s="12">
        <v>10</v>
      </c>
      <c r="G148" s="14">
        <v>29.9</v>
      </c>
      <c r="H148" s="32">
        <v>11001075</v>
      </c>
    </row>
    <row r="149" spans="1:8" x14ac:dyDescent="0.25">
      <c r="A149" s="17">
        <v>4</v>
      </c>
      <c r="B149" s="5">
        <v>0</v>
      </c>
      <c r="C149" s="10" t="str">
        <v>ESTRAGON 100G / TARRAGON 100G</v>
      </c>
      <c r="D149" s="8">
        <v>0</v>
      </c>
      <c r="E149" s="12" t="str">
        <v>STK/PCS</v>
      </c>
      <c r="F149" s="12">
        <v>10</v>
      </c>
      <c r="G149" s="14">
        <v>29.9</v>
      </c>
      <c r="H149" s="32">
        <v>12357303</v>
      </c>
    </row>
    <row r="150" spans="1:8" x14ac:dyDescent="0.25">
      <c r="A150" s="17">
        <v>5</v>
      </c>
      <c r="B150" s="5">
        <v>0</v>
      </c>
      <c r="C150" s="10" t="str">
        <v>GRESSLØK 100G / CHIVES 100G</v>
      </c>
      <c r="D150" s="8">
        <v>0</v>
      </c>
      <c r="E150" s="12" t="str">
        <v>STK/PCS</v>
      </c>
      <c r="F150" s="12">
        <v>10</v>
      </c>
      <c r="G150" s="14">
        <v>29.9</v>
      </c>
      <c r="H150" s="32">
        <v>11001076</v>
      </c>
    </row>
    <row r="151" spans="1:8" x14ac:dyDescent="0.25">
      <c r="A151" s="17">
        <v>6</v>
      </c>
      <c r="B151" s="5">
        <v>0</v>
      </c>
      <c r="C151" s="10" t="str">
        <v>KJØRVEL 100G / CHERVIL 100G</v>
      </c>
      <c r="D151" s="8">
        <v>0</v>
      </c>
      <c r="E151" s="12" t="str">
        <v>STK/PCS</v>
      </c>
      <c r="F151" s="12">
        <v>10</v>
      </c>
      <c r="G151" s="14">
        <v>29.9</v>
      </c>
      <c r="H151" s="32">
        <v>12390292</v>
      </c>
    </row>
    <row r="152" spans="1:8" x14ac:dyDescent="0.25">
      <c r="A152" s="17">
        <v>7</v>
      </c>
      <c r="B152" s="5">
        <v>0</v>
      </c>
      <c r="C152" s="10" t="str">
        <v>KORIANDER 100G / CORIANDER 100G</v>
      </c>
      <c r="D152" s="8">
        <v>0</v>
      </c>
      <c r="E152" s="12" t="str">
        <v>STK/PCS</v>
      </c>
      <c r="F152" s="12">
        <v>10</v>
      </c>
      <c r="G152" s="14">
        <v>29.9</v>
      </c>
      <c r="H152" s="32">
        <v>12049524</v>
      </c>
    </row>
    <row r="153" spans="1:8" x14ac:dyDescent="0.25">
      <c r="A153" s="17">
        <v>8</v>
      </c>
      <c r="B153" s="5">
        <v>0</v>
      </c>
      <c r="C153" s="10" t="str">
        <v>KRUSPERSILLE 100G / CURLED PARSLEY 100G</v>
      </c>
      <c r="D153" s="8">
        <v>0</v>
      </c>
      <c r="E153" s="12" t="str">
        <v>STK/PCS</v>
      </c>
      <c r="F153" s="12">
        <v>10</v>
      </c>
      <c r="G153" s="14">
        <v>29.9</v>
      </c>
      <c r="H153" s="32">
        <v>11001074</v>
      </c>
    </row>
    <row r="154" spans="1:8" x14ac:dyDescent="0.25">
      <c r="A154" s="17">
        <v>9</v>
      </c>
      <c r="B154" s="5">
        <v>0</v>
      </c>
      <c r="C154" s="10" t="str">
        <v>MYNTA 100G / MINT 100G</v>
      </c>
      <c r="D154" s="8">
        <v>0</v>
      </c>
      <c r="E154" s="12" t="str">
        <v>STK/PCS</v>
      </c>
      <c r="F154" s="12">
        <v>10</v>
      </c>
      <c r="G154" s="14">
        <v>29.9</v>
      </c>
      <c r="H154" s="32">
        <v>11000908</v>
      </c>
    </row>
    <row r="155" spans="1:8" x14ac:dyDescent="0.25">
      <c r="A155" s="17">
        <v>10</v>
      </c>
      <c r="B155" s="5">
        <v>0</v>
      </c>
      <c r="C155" s="10" t="str">
        <v>OREGANO 100G / OREGANO 100G</v>
      </c>
      <c r="D155" s="8">
        <v>0</v>
      </c>
      <c r="E155" s="12" t="str">
        <v>STK/PCS</v>
      </c>
      <c r="F155" s="12">
        <v>10</v>
      </c>
      <c r="G155" s="14">
        <v>29.9</v>
      </c>
      <c r="H155" s="32">
        <v>12357304</v>
      </c>
    </row>
    <row r="156" spans="1:8" x14ac:dyDescent="0.25">
      <c r="A156" s="17">
        <v>11</v>
      </c>
      <c r="B156" s="5">
        <v>0</v>
      </c>
      <c r="C156" s="10" t="str">
        <v>ROSMARIN 100G / ROSEMARY 100G</v>
      </c>
      <c r="D156" s="8">
        <v>0</v>
      </c>
      <c r="E156" s="12" t="str">
        <v>STK/PCS</v>
      </c>
      <c r="F156" s="12">
        <v>10</v>
      </c>
      <c r="G156" s="14">
        <v>29.9</v>
      </c>
      <c r="H156" s="32">
        <v>12049526</v>
      </c>
    </row>
    <row r="157" spans="1:8" x14ac:dyDescent="0.25">
      <c r="A157" s="17">
        <v>12</v>
      </c>
      <c r="B157" s="5">
        <v>0</v>
      </c>
      <c r="C157" s="10" t="str">
        <v>SALVIE 100G / SAGE 100G</v>
      </c>
      <c r="D157" s="8">
        <v>0</v>
      </c>
      <c r="E157" s="12" t="str">
        <v>STK/PCS</v>
      </c>
      <c r="F157" s="12">
        <v>10</v>
      </c>
      <c r="G157" s="14">
        <v>99.9</v>
      </c>
      <c r="H157" s="32">
        <v>12357302</v>
      </c>
    </row>
    <row r="158" spans="1:8" x14ac:dyDescent="0.25">
      <c r="A158" s="17">
        <v>13</v>
      </c>
      <c r="B158" s="5">
        <v>0</v>
      </c>
      <c r="C158" s="10" t="str">
        <v>SITRONMELISSE 100G / LEMON BALM 100G</v>
      </c>
      <c r="D158" s="8">
        <v>0</v>
      </c>
      <c r="E158" s="12" t="str">
        <v>STK/PCS</v>
      </c>
      <c r="F158" s="12">
        <v>10</v>
      </c>
      <c r="G158" s="14">
        <v>29.9</v>
      </c>
      <c r="H158" s="32">
        <v>11000907</v>
      </c>
    </row>
    <row r="159" spans="1:8" x14ac:dyDescent="0.25">
      <c r="A159" s="17">
        <v>14</v>
      </c>
      <c r="B159" s="5">
        <v>0</v>
      </c>
      <c r="C159" s="10" t="str">
        <v>THAIBASILIKUM 100G /THAIBASIL 100G</v>
      </c>
      <c r="D159" s="8">
        <v>0</v>
      </c>
      <c r="E159" s="12" t="str">
        <v>STK/PCS</v>
      </c>
      <c r="F159" s="12">
        <v>10</v>
      </c>
      <c r="G159" s="14">
        <v>29.9</v>
      </c>
      <c r="H159" s="32">
        <v>0</v>
      </c>
    </row>
    <row r="160" spans="1:8" x14ac:dyDescent="0.25">
      <c r="A160" s="17">
        <v>15</v>
      </c>
      <c r="B160" s="5">
        <v>0</v>
      </c>
      <c r="C160" s="10" t="str">
        <v>TIMIAN 100G / THYME 100G</v>
      </c>
      <c r="D160" s="8">
        <v>0</v>
      </c>
      <c r="E160" s="12" t="str">
        <v>STK/PCS</v>
      </c>
      <c r="F160" s="12">
        <v>10</v>
      </c>
      <c r="G160" s="14">
        <v>29.9</v>
      </c>
      <c r="H160" s="32">
        <v>12049529</v>
      </c>
    </row>
    <row r="161" spans="1:8" x14ac:dyDescent="0.25">
      <c r="A161" s="17">
        <v>16</v>
      </c>
      <c r="B161" s="5">
        <v>0</v>
      </c>
      <c r="C161" s="10" t="str">
        <v>BABY SPINAT 500G / BABY SPINACH 500G</v>
      </c>
      <c r="D161" s="8">
        <v>0</v>
      </c>
      <c r="E161" s="12" t="str">
        <v>STK/PCS</v>
      </c>
      <c r="F161" s="12">
        <v>10</v>
      </c>
      <c r="G161" s="14">
        <v>99</v>
      </c>
      <c r="H161" s="32">
        <v>13863212</v>
      </c>
    </row>
    <row r="162" spans="1:8" x14ac:dyDescent="0.25">
      <c r="A162" s="17">
        <v>17</v>
      </c>
      <c r="B162" s="5">
        <v>0</v>
      </c>
      <c r="C162" s="10" t="str">
        <v>RUCCOLA 200G / ROCKET 200G</v>
      </c>
      <c r="D162" s="8">
        <v>0</v>
      </c>
      <c r="E162" s="12" t="str">
        <v>STK/PCS</v>
      </c>
      <c r="F162" s="12">
        <v>10</v>
      </c>
      <c r="G162" s="14">
        <v>39.9</v>
      </c>
      <c r="H162" s="32">
        <v>12331182</v>
      </c>
    </row>
    <row r="163" spans="1:8" x14ac:dyDescent="0.25">
      <c r="A163" s="17">
        <v>18</v>
      </c>
      <c r="B163" s="5">
        <v>0</v>
      </c>
      <c r="C163" s="10" t="str">
        <v>RØD LOLLO STK / RED LOLLO ROSSA PCA</v>
      </c>
      <c r="D163" s="8">
        <v>0</v>
      </c>
      <c r="E163" s="12" t="str">
        <v>STK/PCS</v>
      </c>
      <c r="F163" s="12">
        <v>12</v>
      </c>
      <c r="G163" s="14">
        <v>36.299999999999997</v>
      </c>
      <c r="H163" s="32">
        <v>11887325</v>
      </c>
    </row>
    <row r="164" spans="1:8" x14ac:dyDescent="0.25">
      <c r="A164" s="17">
        <v>60</v>
      </c>
      <c r="B164" s="5">
        <v>7025110117540</v>
      </c>
      <c r="C164" s="10" t="str">
        <v>SALAT CRISPI  150G / CRISPY SALAD 150G</v>
      </c>
      <c r="D164" s="8">
        <v>0</v>
      </c>
      <c r="E164" s="12" t="str">
        <v>STK/PCS</v>
      </c>
      <c r="F164" s="12">
        <v>6</v>
      </c>
      <c r="G164" s="14">
        <v>38.450000000000003</v>
      </c>
      <c r="H164" s="32">
        <v>12049413</v>
      </c>
    </row>
    <row r="165" spans="1:8" x14ac:dyDescent="0.25">
      <c r="A165" s="17">
        <v>61</v>
      </c>
      <c r="B165" s="5">
        <v>2000505400000</v>
      </c>
      <c r="C165" s="10" t="str">
        <v>SALAT GRØNNKÅL VASKET 150G / KALE 150G</v>
      </c>
      <c r="D165" s="8">
        <v>0</v>
      </c>
      <c r="E165" s="12" t="str">
        <v>STK/PCS</v>
      </c>
      <c r="F165" s="12">
        <v>7</v>
      </c>
      <c r="G165" s="14">
        <v>35.9</v>
      </c>
      <c r="H165" s="32">
        <v>0</v>
      </c>
    </row>
    <row r="166" spans="1:8" x14ac:dyDescent="0.25">
      <c r="A166" s="17">
        <v>62</v>
      </c>
      <c r="B166" s="5">
        <v>2000526400000</v>
      </c>
      <c r="C166" s="10" t="str">
        <v>SALAT HJERTE 2 STK / BABY GEM LETTUCE 2PCS</v>
      </c>
      <c r="D166" s="8">
        <v>0</v>
      </c>
      <c r="E166" s="12" t="str">
        <v>STK/PCS</v>
      </c>
      <c r="F166" s="12">
        <v>8</v>
      </c>
      <c r="G166" s="14">
        <v>37.9</v>
      </c>
      <c r="H166" s="32">
        <v>11887473</v>
      </c>
    </row>
    <row r="167" spans="1:8" x14ac:dyDescent="0.25">
      <c r="A167" s="17">
        <v>63</v>
      </c>
      <c r="B167" s="5">
        <v>2000554500000</v>
      </c>
      <c r="C167" s="10" t="str">
        <v>SALAT ROMANO STK / ROMANO SALAD PCS</v>
      </c>
      <c r="D167" s="8">
        <v>0</v>
      </c>
      <c r="E167" s="12" t="str">
        <v>STK/PCS</v>
      </c>
      <c r="F167" s="12">
        <v>8</v>
      </c>
      <c r="G167" s="14">
        <v>41.9</v>
      </c>
      <c r="H167" s="32">
        <v>11001008</v>
      </c>
    </row>
    <row r="168" spans="1:8" x14ac:dyDescent="0.25">
      <c r="A168" s="170">
        <v>21</v>
      </c>
      <c r="B168" s="177">
        <v>7048170007170</v>
      </c>
      <c r="C168" s="10" t="str">
        <v>SALATMIX 250G/MIXED LEAFSALAD 250G</v>
      </c>
      <c r="D168" s="8">
        <v>0</v>
      </c>
      <c r="E168" s="10" t="str">
        <v>STK/PCS</v>
      </c>
      <c r="F168" s="10">
        <v>1</v>
      </c>
      <c r="G168" s="10">
        <v>36.9</v>
      </c>
      <c r="H168" s="22">
        <v>0</v>
      </c>
    </row>
    <row r="169" spans="1:8" x14ac:dyDescent="0.25">
      <c r="A169" s="170">
        <v>22</v>
      </c>
      <c r="B169" s="177">
        <v>0</v>
      </c>
      <c r="C169" s="10" t="str">
        <v>LEDIG</v>
      </c>
      <c r="D169" s="8">
        <v>0</v>
      </c>
      <c r="E169" s="10">
        <v>0</v>
      </c>
      <c r="F169" s="10">
        <v>0</v>
      </c>
      <c r="G169" s="10">
        <v>0</v>
      </c>
      <c r="H169" s="22">
        <v>0</v>
      </c>
    </row>
    <row r="170" spans="1:8" x14ac:dyDescent="0.25">
      <c r="A170" s="170">
        <v>23</v>
      </c>
      <c r="B170" s="177">
        <v>0</v>
      </c>
      <c r="C170" s="10" t="str">
        <v>LEDIG</v>
      </c>
      <c r="D170" s="8">
        <v>0</v>
      </c>
      <c r="E170" s="10">
        <v>0</v>
      </c>
      <c r="F170" s="10">
        <v>0</v>
      </c>
      <c r="G170" s="10">
        <v>0</v>
      </c>
      <c r="H170" s="22">
        <v>0</v>
      </c>
    </row>
    <row r="171" spans="1:8" x14ac:dyDescent="0.25">
      <c r="A171">
        <v>24</v>
      </c>
      <c r="B171">
        <v>0</v>
      </c>
      <c r="C171" t="str">
        <v>LEDIG</v>
      </c>
      <c r="D171">
        <v>0</v>
      </c>
      <c r="E171">
        <v>0</v>
      </c>
      <c r="F171">
        <v>0</v>
      </c>
      <c r="G171">
        <v>0</v>
      </c>
      <c r="H171">
        <v>0</v>
      </c>
    </row>
    <row r="172" spans="1:8" x14ac:dyDescent="0.25">
      <c r="A172">
        <v>25</v>
      </c>
      <c r="B172">
        <v>0</v>
      </c>
      <c r="C172" t="str">
        <v>LEDIG</v>
      </c>
      <c r="D172">
        <v>0</v>
      </c>
      <c r="E172">
        <v>0</v>
      </c>
      <c r="F172">
        <v>0</v>
      </c>
      <c r="G172">
        <v>0</v>
      </c>
      <c r="H172">
        <v>0</v>
      </c>
    </row>
  </sheetData>
  <autoFilter ref="A11:H170" xr:uid="{E99043E6-A062-441A-B4F8-88F86F75455D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74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5CE4-A972-47FE-ADBF-E85C53A5C423}">
  <sheetPr codeName="Ark4">
    <pageSetUpPr fitToPage="1"/>
  </sheetPr>
  <dimension ref="A1:J63"/>
  <sheetViews>
    <sheetView showZeros="0" topLeftCell="A3" zoomScale="80" zoomScaleNormal="80" workbookViewId="0">
      <selection activeCell="D12" sqref="D12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59.14062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6"/>
      <c r="C2" s="7"/>
      <c r="D2" s="48"/>
      <c r="E2" s="66"/>
      <c r="F2" s="67"/>
      <c r="G2" s="7"/>
      <c r="H2" s="46"/>
      <c r="I2" s="6"/>
    </row>
    <row r="3" spans="1:10" ht="19.5" thickBot="1" x14ac:dyDescent="0.35">
      <c r="A3" s="6"/>
      <c r="B3" s="63"/>
      <c r="C3" s="7"/>
      <c r="D3" s="44"/>
      <c r="E3" s="64"/>
      <c r="F3" s="65"/>
      <c r="G3" s="7"/>
      <c r="H3" s="63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6"/>
      <c r="C5" s="7"/>
      <c r="D5" s="46"/>
      <c r="E5" s="7"/>
      <c r="F5" s="7"/>
      <c r="G5" s="7"/>
      <c r="H5" s="46"/>
      <c r="I5" s="6"/>
    </row>
    <row r="6" spans="1:10" ht="19.5" thickBot="1" x14ac:dyDescent="0.35">
      <c r="A6" s="6"/>
      <c r="B6" s="63"/>
      <c r="C6" s="7"/>
      <c r="D6" s="63"/>
      <c r="E6" s="7"/>
      <c r="F6" s="7"/>
      <c r="G6" s="7"/>
      <c r="H6" s="63"/>
      <c r="I6" s="6"/>
    </row>
    <row r="10" spans="1:10" ht="23.25" x14ac:dyDescent="0.35">
      <c r="A10" s="216" t="s">
        <v>165</v>
      </c>
      <c r="B10" s="216"/>
      <c r="C10" s="216"/>
      <c r="D10" s="216"/>
      <c r="E10" s="216"/>
      <c r="F10" s="216"/>
      <c r="G10" s="216"/>
      <c r="H10" s="16"/>
      <c r="I10" s="16"/>
      <c r="J10" s="16"/>
    </row>
    <row r="11" spans="1:10" ht="30" x14ac:dyDescent="0.25">
      <c r="A11" s="1" t="s">
        <v>6</v>
      </c>
      <c r="B11" s="1" t="s">
        <v>7</v>
      </c>
      <c r="C11" s="2" t="s">
        <v>8</v>
      </c>
      <c r="D11" s="2" t="s">
        <v>9</v>
      </c>
      <c r="E11" s="2" t="s">
        <v>10</v>
      </c>
      <c r="F11" s="3" t="s">
        <v>11</v>
      </c>
      <c r="G11" s="4" t="s">
        <v>12</v>
      </c>
      <c r="H11" s="152" t="s">
        <v>421</v>
      </c>
    </row>
    <row r="12" spans="1:10" x14ac:dyDescent="0.25">
      <c r="A12" s="18" cm="1">
        <f t="array" ref="A12:G35">Tabell3[[NUMMER]:[NOK]]</f>
        <v>1</v>
      </c>
      <c r="B12" s="19">
        <v>8712275101574</v>
      </c>
      <c r="C12" s="11" t="str">
        <v>LANGTIDSHOLDBAR MELK 1,5% / LONGLIFE MILK 1,5%</v>
      </c>
      <c r="D12" s="9">
        <v>0</v>
      </c>
      <c r="E12" s="13" t="str">
        <v>STK/PCS</v>
      </c>
      <c r="F12" s="13">
        <v>12</v>
      </c>
      <c r="G12" s="154">
        <v>18.899999999999999</v>
      </c>
      <c r="H12" s="32" cm="1">
        <f t="array" ref="H12:H35">Tabell3[V.NR KRAEMER]</f>
        <v>10055</v>
      </c>
    </row>
    <row r="13" spans="1:10" x14ac:dyDescent="0.25">
      <c r="A13" s="17">
        <v>2</v>
      </c>
      <c r="B13" s="5">
        <v>8712275101567</v>
      </c>
      <c r="C13" s="10" t="str">
        <v>LANGTIDSHOLDBAR MELK 3,5% / LONGLIFE MILK 3,5%</v>
      </c>
      <c r="D13" s="8">
        <v>0</v>
      </c>
      <c r="E13" s="12" t="str">
        <v>STK/PCS</v>
      </c>
      <c r="F13" s="12">
        <v>12</v>
      </c>
      <c r="G13" s="155">
        <v>18.899999999999999</v>
      </c>
      <c r="H13" s="32">
        <v>10054</v>
      </c>
    </row>
    <row r="14" spans="1:10" x14ac:dyDescent="0.25">
      <c r="A14" s="17">
        <v>3</v>
      </c>
      <c r="B14" s="5">
        <v>5413209990969</v>
      </c>
      <c r="C14" s="10" t="str">
        <v>LANGTIDSHOLDBAR FLØTE 35% / LONGLIFE CREAM 35%</v>
      </c>
      <c r="D14" s="8">
        <v>0</v>
      </c>
      <c r="E14" s="12" t="str">
        <v>STK/PCS</v>
      </c>
      <c r="F14" s="12">
        <v>12</v>
      </c>
      <c r="G14" s="155">
        <v>66.900000000000006</v>
      </c>
      <c r="H14" s="32">
        <v>10056</v>
      </c>
    </row>
    <row r="15" spans="1:10" x14ac:dyDescent="0.25">
      <c r="A15" s="17">
        <v>4</v>
      </c>
      <c r="B15" s="5">
        <v>4045500011770</v>
      </c>
      <c r="C15" s="10" t="str">
        <v>LANGTIDSHOLDBAR RØMME 1L / LONGLIFE SOUR CREAM 1L</v>
      </c>
      <c r="D15" s="8">
        <v>0</v>
      </c>
      <c r="E15" s="12" t="str">
        <v>STK/PCS</v>
      </c>
      <c r="F15" s="12">
        <v>6</v>
      </c>
      <c r="G15" s="155">
        <v>49.9</v>
      </c>
      <c r="H15" s="32">
        <v>10872</v>
      </c>
    </row>
    <row r="16" spans="1:10" x14ac:dyDescent="0.25">
      <c r="A16" s="17">
        <v>5</v>
      </c>
      <c r="B16" s="5">
        <v>7038010002526</v>
      </c>
      <c r="C16" s="10" t="str">
        <v>LETTMELK BIB 10L / FRESH MILK 10L BAG IN BOX</v>
      </c>
      <c r="D16" s="8">
        <v>0</v>
      </c>
      <c r="E16" s="12" t="str">
        <v>STK/PCS</v>
      </c>
      <c r="F16" s="12">
        <v>1</v>
      </c>
      <c r="G16" s="155">
        <v>394.8</v>
      </c>
      <c r="H16" s="32">
        <v>1402007</v>
      </c>
    </row>
    <row r="17" spans="1:8" x14ac:dyDescent="0.25">
      <c r="A17" s="17">
        <v>12</v>
      </c>
      <c r="B17" s="5">
        <v>7392672104500</v>
      </c>
      <c r="C17" s="10" t="str">
        <v>GRESK YOGHURT 1KG / GREEK YOGHURT 1KG</v>
      </c>
      <c r="D17" s="8">
        <v>0</v>
      </c>
      <c r="E17" s="12" t="str">
        <v>STK/PCS</v>
      </c>
      <c r="F17" s="12">
        <v>6</v>
      </c>
      <c r="G17" s="155">
        <v>65.900000000000006</v>
      </c>
      <c r="H17" s="32">
        <v>1305762</v>
      </c>
    </row>
    <row r="18" spans="1:8" x14ac:dyDescent="0.25">
      <c r="A18" s="17">
        <v>13</v>
      </c>
      <c r="B18" s="5">
        <v>7038010063879</v>
      </c>
      <c r="C18" s="10" t="str">
        <v>YOGHURT NATURELL 1KG / YOGHURT NATURELL 1KG</v>
      </c>
      <c r="D18" s="8">
        <v>0</v>
      </c>
      <c r="E18" s="12" t="str">
        <v>STK/PCS</v>
      </c>
      <c r="F18" s="12">
        <v>6</v>
      </c>
      <c r="G18" s="155">
        <v>54.9</v>
      </c>
      <c r="H18" s="32">
        <v>0</v>
      </c>
    </row>
    <row r="19" spans="1:8" x14ac:dyDescent="0.25">
      <c r="A19" s="17">
        <v>14</v>
      </c>
      <c r="B19" s="5">
        <v>7038010063862</v>
      </c>
      <c r="C19" s="10" t="str">
        <v>YOGHURT VANILJE 1KG / YOGHURT VANILLA 1KG</v>
      </c>
      <c r="D19" s="8">
        <v>0</v>
      </c>
      <c r="E19" s="12" t="str">
        <v>STK/PCS</v>
      </c>
      <c r="F19" s="12">
        <v>6</v>
      </c>
      <c r="G19" s="155">
        <v>54.9</v>
      </c>
      <c r="H19" s="32">
        <v>0</v>
      </c>
    </row>
    <row r="20" spans="1:8" x14ac:dyDescent="0.25">
      <c r="A20" s="17">
        <v>15</v>
      </c>
      <c r="B20" s="5">
        <v>7038010063886</v>
      </c>
      <c r="C20" s="10" t="str">
        <v>YOGHURT SKOGSBÆR 1KG / YOGHURT BERRIES 1KG</v>
      </c>
      <c r="D20" s="8">
        <v>0</v>
      </c>
      <c r="E20" s="12" t="str">
        <v>STK/PCS</v>
      </c>
      <c r="F20" s="12">
        <v>6</v>
      </c>
      <c r="G20" s="155">
        <v>54.9</v>
      </c>
      <c r="H20" s="32">
        <v>0</v>
      </c>
    </row>
    <row r="21" spans="1:8" x14ac:dyDescent="0.25">
      <c r="A21" s="17">
        <v>0</v>
      </c>
      <c r="B21" s="5">
        <v>7038010006388</v>
      </c>
      <c r="C21" s="10" t="str">
        <v>YOGHURT SESSONG MIX 8PK / YOGHURT SEASON MIX 8PK</v>
      </c>
      <c r="D21" s="8">
        <v>0</v>
      </c>
      <c r="E21" s="12" t="str">
        <v>STK/PCS</v>
      </c>
      <c r="F21" s="12">
        <v>3</v>
      </c>
      <c r="G21" s="155">
        <v>62.4</v>
      </c>
      <c r="H21" s="32">
        <v>0</v>
      </c>
    </row>
    <row r="22" spans="1:8" x14ac:dyDescent="0.25">
      <c r="A22" s="17">
        <v>0</v>
      </c>
      <c r="B22" s="5">
        <v>7038010070396</v>
      </c>
      <c r="C22" s="10" t="str">
        <v>YOGHURT JORDBÆR 1KG / YOGHURT STRAWBERRIES 1KG</v>
      </c>
      <c r="D22" s="8">
        <v>0</v>
      </c>
      <c r="E22" s="12" t="str">
        <v>STK/PCS</v>
      </c>
      <c r="F22" s="12">
        <v>6</v>
      </c>
      <c r="G22" s="155">
        <v>54.9</v>
      </c>
      <c r="H22" s="32">
        <v>0</v>
      </c>
    </row>
    <row r="23" spans="1:8" x14ac:dyDescent="0.25">
      <c r="A23" s="17">
        <v>16</v>
      </c>
      <c r="B23" s="5">
        <v>7038010062735</v>
      </c>
      <c r="C23" s="10" t="str">
        <v>YOGHURT MANGO/PASJON 850G / YOGHURT MANGO/PASSION 850G</v>
      </c>
      <c r="D23" s="8">
        <v>0</v>
      </c>
      <c r="E23" s="12" t="str">
        <v>STK/PCS</v>
      </c>
      <c r="F23" s="12">
        <v>6</v>
      </c>
      <c r="G23" s="155">
        <v>54.9</v>
      </c>
      <c r="H23" s="32">
        <v>0</v>
      </c>
    </row>
    <row r="24" spans="1:8" x14ac:dyDescent="0.25">
      <c r="A24" s="17">
        <v>17</v>
      </c>
      <c r="B24" s="5">
        <v>7038010070402</v>
      </c>
      <c r="C24" s="10" t="str">
        <v>YOGHURT SITRON/LIME 1KG / YOGHURT LEMON/LIME 1KG</v>
      </c>
      <c r="D24" s="8">
        <v>0</v>
      </c>
      <c r="E24" s="12" t="str">
        <v>STK/PCS</v>
      </c>
      <c r="F24" s="12">
        <v>6</v>
      </c>
      <c r="G24" s="155">
        <v>54.9</v>
      </c>
      <c r="H24" s="32">
        <v>0</v>
      </c>
    </row>
    <row r="25" spans="1:8" x14ac:dyDescent="0.25">
      <c r="A25" s="17">
        <v>22</v>
      </c>
      <c r="B25" s="5">
        <v>7038010572111</v>
      </c>
      <c r="C25" s="10" t="str">
        <v>KYBOS 2,5KG / KYBOS "FETA" 2,5KG</v>
      </c>
      <c r="D25" s="8">
        <v>0</v>
      </c>
      <c r="E25" s="12" t="str">
        <v>STK/PCS</v>
      </c>
      <c r="F25" s="12">
        <v>1</v>
      </c>
      <c r="G25" s="155">
        <v>459</v>
      </c>
      <c r="H25" s="32">
        <v>0</v>
      </c>
    </row>
    <row r="26" spans="1:8" x14ac:dyDescent="0.25">
      <c r="A26" s="17">
        <v>23</v>
      </c>
      <c r="B26" s="5">
        <v>7036110009698</v>
      </c>
      <c r="C26" s="10" t="str">
        <v>MELANGE 500G / PLANTBASED BUTTER 500G</v>
      </c>
      <c r="D26" s="8">
        <v>0</v>
      </c>
      <c r="E26" s="12" t="str">
        <v>STK/PCS</v>
      </c>
      <c r="F26" s="12">
        <v>20</v>
      </c>
      <c r="G26" s="155">
        <v>32.9</v>
      </c>
      <c r="H26" s="32">
        <v>4670238</v>
      </c>
    </row>
    <row r="27" spans="1:8" x14ac:dyDescent="0.25">
      <c r="A27" s="17">
        <v>24</v>
      </c>
      <c r="B27" s="5">
        <v>7038010010187</v>
      </c>
      <c r="C27" s="10" t="str">
        <v>SMØR NORMALSALTET 500G / BUTTER SALTED 500G</v>
      </c>
      <c r="D27" s="8">
        <v>0</v>
      </c>
      <c r="E27" s="12" t="str">
        <v>STK/PCS</v>
      </c>
      <c r="F27" s="12">
        <v>18</v>
      </c>
      <c r="G27" s="155">
        <v>54.9</v>
      </c>
      <c r="H27" s="32">
        <v>545657</v>
      </c>
    </row>
    <row r="28" spans="1:8" x14ac:dyDescent="0.25">
      <c r="A28" s="17">
        <v>25</v>
      </c>
      <c r="B28" s="5">
        <v>4000339697908</v>
      </c>
      <c r="C28" s="10" t="str">
        <v>PHILADELFIA NATURELL 200G / CREAM CHEESE 200G</v>
      </c>
      <c r="D28" s="8">
        <v>0</v>
      </c>
      <c r="E28" s="12" t="str">
        <v>STK/PCS</v>
      </c>
      <c r="F28" s="12">
        <v>10</v>
      </c>
      <c r="G28" s="155">
        <v>34.9</v>
      </c>
      <c r="H28" s="32">
        <v>474585</v>
      </c>
    </row>
    <row r="29" spans="1:8" x14ac:dyDescent="0.25">
      <c r="A29" s="17">
        <v>26</v>
      </c>
      <c r="B29" s="5">
        <v>5708356004424</v>
      </c>
      <c r="C29" s="10" t="str">
        <v>GOUDA SKIVET 900G / GOUDA SLICED 900G</v>
      </c>
      <c r="D29" s="8">
        <v>0</v>
      </c>
      <c r="E29" s="12" t="str">
        <v>STK/PCS</v>
      </c>
      <c r="F29" s="12">
        <v>6</v>
      </c>
      <c r="G29" s="155">
        <v>119</v>
      </c>
      <c r="H29" s="32">
        <v>18070</v>
      </c>
    </row>
    <row r="30" spans="1:8" x14ac:dyDescent="0.25">
      <c r="A30" s="17">
        <v>27</v>
      </c>
      <c r="B30" s="5">
        <v>7025110184344</v>
      </c>
      <c r="C30" s="10" t="str">
        <v>EGG 18PK /EGGS 18PK</v>
      </c>
      <c r="D30" s="8">
        <v>0</v>
      </c>
      <c r="E30" s="12" t="str">
        <v>STK/PCS</v>
      </c>
      <c r="F30" s="12">
        <v>9</v>
      </c>
      <c r="G30" s="155">
        <v>58.9</v>
      </c>
      <c r="H30" s="32">
        <v>0</v>
      </c>
    </row>
    <row r="31" spans="1:8" x14ac:dyDescent="0.25">
      <c r="A31" s="17">
        <v>28</v>
      </c>
      <c r="B31" s="5">
        <v>5704025014649</v>
      </c>
      <c r="C31" s="10" t="str">
        <v>MON AMI BRIE 500G</v>
      </c>
      <c r="D31" s="8">
        <v>0</v>
      </c>
      <c r="E31" s="12" t="str">
        <v>STK/PCS</v>
      </c>
      <c r="F31" s="12">
        <v>6</v>
      </c>
      <c r="G31" s="155">
        <v>128</v>
      </c>
      <c r="H31" s="32">
        <v>0</v>
      </c>
    </row>
    <row r="32" spans="1:8" x14ac:dyDescent="0.25">
      <c r="A32" s="17">
        <v>29</v>
      </c>
      <c r="B32" s="5">
        <v>8004603100794</v>
      </c>
      <c r="C32" s="10" t="str">
        <v>MASCARPONE 250G</v>
      </c>
      <c r="D32" s="8">
        <v>0</v>
      </c>
      <c r="E32" s="12" t="str">
        <v>STK/PCS</v>
      </c>
      <c r="F32" s="12">
        <v>6</v>
      </c>
      <c r="G32" s="155">
        <v>45.9</v>
      </c>
      <c r="H32" s="32">
        <v>0</v>
      </c>
    </row>
    <row r="33" spans="1:8" x14ac:dyDescent="0.25">
      <c r="A33" s="17">
        <v>30</v>
      </c>
      <c r="B33" s="5">
        <v>7340191120143</v>
      </c>
      <c r="C33" s="10" t="str">
        <v>MOZZARELLA 125G</v>
      </c>
      <c r="D33" s="8">
        <v>0</v>
      </c>
      <c r="E33" s="12" t="str">
        <v>STK/PCS</v>
      </c>
      <c r="F33" s="12">
        <v>8</v>
      </c>
      <c r="G33" s="155">
        <v>36.9</v>
      </c>
      <c r="H33" s="32">
        <v>0</v>
      </c>
    </row>
    <row r="34" spans="1:8" x14ac:dyDescent="0.25">
      <c r="A34" s="17">
        <v>31</v>
      </c>
      <c r="B34" s="5">
        <v>0</v>
      </c>
      <c r="C34" s="10" t="str">
        <v>LEDIG</v>
      </c>
      <c r="D34" s="8">
        <v>0</v>
      </c>
      <c r="E34" s="12">
        <v>0</v>
      </c>
      <c r="F34" s="12">
        <v>0</v>
      </c>
      <c r="G34" s="155">
        <v>0</v>
      </c>
      <c r="H34" s="32">
        <v>0</v>
      </c>
    </row>
    <row r="35" spans="1:8" x14ac:dyDescent="0.25">
      <c r="A35" s="17">
        <v>32</v>
      </c>
      <c r="B35" s="5">
        <v>0</v>
      </c>
      <c r="C35" s="10" t="str">
        <v>LEDIG</v>
      </c>
      <c r="D35" s="8">
        <v>0</v>
      </c>
      <c r="E35" s="12">
        <v>0</v>
      </c>
      <c r="F35" s="12">
        <v>0</v>
      </c>
      <c r="G35" s="155">
        <v>0</v>
      </c>
      <c r="H35" s="32">
        <v>0</v>
      </c>
    </row>
    <row r="36" spans="1:8" x14ac:dyDescent="0.25">
      <c r="A36" s="17"/>
      <c r="B36" s="5"/>
      <c r="C36" s="10"/>
      <c r="D36" s="8"/>
      <c r="E36" s="12"/>
      <c r="F36" s="12"/>
      <c r="G36" s="155"/>
      <c r="H36" s="32"/>
    </row>
    <row r="37" spans="1:8" x14ac:dyDescent="0.25">
      <c r="A37" s="17"/>
      <c r="B37" s="5"/>
      <c r="C37" s="10"/>
      <c r="D37" s="8"/>
      <c r="E37" s="12"/>
      <c r="F37" s="12"/>
      <c r="G37" s="155"/>
      <c r="H37" s="32"/>
    </row>
    <row r="38" spans="1:8" x14ac:dyDescent="0.25">
      <c r="A38" s="17"/>
      <c r="B38" s="5"/>
      <c r="C38" s="10"/>
      <c r="D38" s="8"/>
      <c r="E38" s="12"/>
      <c r="F38" s="12"/>
      <c r="G38" s="155"/>
      <c r="H38" s="32"/>
    </row>
    <row r="39" spans="1:8" x14ac:dyDescent="0.25">
      <c r="A39" s="170"/>
      <c r="B39" s="177"/>
      <c r="C39" s="10"/>
      <c r="D39" s="8"/>
      <c r="E39" s="10"/>
      <c r="F39" s="10"/>
      <c r="G39" s="10"/>
      <c r="H39" s="32"/>
    </row>
    <row r="40" spans="1:8" x14ac:dyDescent="0.25">
      <c r="A40" s="170"/>
      <c r="B40" s="177"/>
      <c r="C40" s="10"/>
      <c r="D40" s="8"/>
      <c r="E40" s="10"/>
      <c r="F40" s="10"/>
      <c r="G40" s="10"/>
      <c r="H40" s="32"/>
    </row>
    <row r="41" spans="1:8" x14ac:dyDescent="0.25">
      <c r="A41" s="170"/>
      <c r="B41" s="177"/>
      <c r="C41" s="10"/>
      <c r="D41" s="8"/>
      <c r="E41" s="10"/>
      <c r="F41" s="10"/>
      <c r="G41" s="10"/>
      <c r="H41" s="32"/>
    </row>
    <row r="42" spans="1:8" x14ac:dyDescent="0.25">
      <c r="A42" s="170"/>
      <c r="B42" s="177"/>
      <c r="C42" s="10"/>
      <c r="D42" s="8"/>
      <c r="E42" s="10"/>
      <c r="F42" s="10"/>
      <c r="G42" s="10"/>
      <c r="H42" s="32"/>
    </row>
    <row r="43" spans="1:8" x14ac:dyDescent="0.25">
      <c r="A43" s="170"/>
      <c r="B43" s="177"/>
      <c r="C43" s="10"/>
      <c r="D43" s="8"/>
      <c r="E43" s="10"/>
      <c r="F43" s="10"/>
      <c r="G43" s="10"/>
      <c r="H43" s="32"/>
    </row>
    <row r="44" spans="1:8" x14ac:dyDescent="0.25">
      <c r="H44" s="151"/>
    </row>
    <row r="45" spans="1:8" x14ac:dyDescent="0.25">
      <c r="H45" s="151"/>
    </row>
    <row r="46" spans="1:8" x14ac:dyDescent="0.25">
      <c r="H46" s="151"/>
    </row>
    <row r="47" spans="1:8" x14ac:dyDescent="0.25">
      <c r="H47" s="151"/>
    </row>
    <row r="48" spans="1:8" x14ac:dyDescent="0.25">
      <c r="H48" s="151"/>
    </row>
    <row r="49" spans="8:8" x14ac:dyDescent="0.25">
      <c r="H49" s="151"/>
    </row>
    <row r="50" spans="8:8" x14ac:dyDescent="0.25">
      <c r="H50" s="151"/>
    </row>
    <row r="51" spans="8:8" x14ac:dyDescent="0.25">
      <c r="H51" s="151"/>
    </row>
    <row r="52" spans="8:8" x14ac:dyDescent="0.25">
      <c r="H52" s="151"/>
    </row>
    <row r="53" spans="8:8" x14ac:dyDescent="0.25">
      <c r="H53" s="151"/>
    </row>
    <row r="54" spans="8:8" x14ac:dyDescent="0.25">
      <c r="H54" s="151"/>
    </row>
    <row r="55" spans="8:8" x14ac:dyDescent="0.25">
      <c r="H55" s="151"/>
    </row>
    <row r="56" spans="8:8" x14ac:dyDescent="0.25">
      <c r="H56" s="151"/>
    </row>
    <row r="57" spans="8:8" x14ac:dyDescent="0.25">
      <c r="H57" s="151"/>
    </row>
    <row r="58" spans="8:8" x14ac:dyDescent="0.25">
      <c r="H58" s="151"/>
    </row>
    <row r="59" spans="8:8" x14ac:dyDescent="0.25">
      <c r="H59" s="151"/>
    </row>
    <row r="60" spans="8:8" x14ac:dyDescent="0.25">
      <c r="H60" s="151"/>
    </row>
    <row r="61" spans="8:8" x14ac:dyDescent="0.25">
      <c r="H61" s="151"/>
    </row>
    <row r="62" spans="8:8" x14ac:dyDescent="0.25">
      <c r="H62" s="151"/>
    </row>
    <row r="63" spans="8:8" x14ac:dyDescent="0.25">
      <c r="H63" s="151"/>
    </row>
  </sheetData>
  <autoFilter ref="A11:H43" xr:uid="{990A5CE4-A972-47FE-ADBF-E85C53A5C423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69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8376-B0CA-4D52-B49D-15E68F00E329}">
  <sheetPr codeName="Ark5">
    <pageSetUpPr fitToPage="1"/>
  </sheetPr>
  <dimension ref="A1:J65"/>
  <sheetViews>
    <sheetView showZeros="0" zoomScale="80" zoomScaleNormal="80" workbookViewId="0">
      <selection activeCell="D12" sqref="D12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43.710937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6"/>
      <c r="C2" s="7"/>
      <c r="D2" s="48"/>
      <c r="E2" s="66"/>
      <c r="F2" s="67"/>
      <c r="G2" s="7"/>
      <c r="H2" s="46"/>
      <c r="I2" s="6"/>
    </row>
    <row r="3" spans="1:10" ht="19.5" thickBot="1" x14ac:dyDescent="0.35">
      <c r="A3" s="6"/>
      <c r="B3" s="63"/>
      <c r="C3" s="7"/>
      <c r="D3" s="44"/>
      <c r="E3" s="64"/>
      <c r="F3" s="65"/>
      <c r="G3" s="7"/>
      <c r="H3" s="63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6"/>
      <c r="C5" s="7"/>
      <c r="D5" s="46"/>
      <c r="E5" s="7"/>
      <c r="F5" s="7"/>
      <c r="G5" s="7"/>
      <c r="H5" s="46"/>
      <c r="I5" s="6"/>
    </row>
    <row r="6" spans="1:10" ht="19.5" thickBot="1" x14ac:dyDescent="0.35">
      <c r="A6" s="6"/>
      <c r="B6" s="63"/>
      <c r="C6" s="7"/>
      <c r="D6" s="63"/>
      <c r="E6" s="7"/>
      <c r="F6" s="7"/>
      <c r="G6" s="7"/>
      <c r="H6" s="63"/>
      <c r="I6" s="6"/>
    </row>
    <row r="10" spans="1:10" ht="23.25" x14ac:dyDescent="0.35">
      <c r="A10" s="216" t="s">
        <v>179</v>
      </c>
      <c r="B10" s="216"/>
      <c r="C10" s="216"/>
      <c r="D10" s="216"/>
      <c r="E10" s="216"/>
      <c r="F10" s="216"/>
      <c r="G10" s="216"/>
      <c r="H10" s="16"/>
      <c r="I10" s="16"/>
      <c r="J10" s="16"/>
    </row>
    <row r="11" spans="1:10" ht="30" x14ac:dyDescent="0.25">
      <c r="A11" s="1" t="s">
        <v>6</v>
      </c>
      <c r="B11" s="1" t="s">
        <v>7</v>
      </c>
      <c r="C11" s="2" t="s">
        <v>8</v>
      </c>
      <c r="D11" s="2" t="s">
        <v>9</v>
      </c>
      <c r="E11" s="2" t="s">
        <v>10</v>
      </c>
      <c r="F11" s="3" t="s">
        <v>11</v>
      </c>
      <c r="G11" s="4" t="s">
        <v>12</v>
      </c>
      <c r="H11" s="153" t="s">
        <v>421</v>
      </c>
    </row>
    <row r="12" spans="1:10" x14ac:dyDescent="0.25">
      <c r="A12" s="18" cm="1">
        <f t="array" ref="A12:G38">Tabell4[[NUMMER]:[NOK]]</f>
        <v>1</v>
      </c>
      <c r="B12" s="19">
        <v>7037204742125</v>
      </c>
      <c r="C12" s="11" t="str">
        <v>KOKT SKINKE 150G / COOKED HAM 150G</v>
      </c>
      <c r="D12" s="9">
        <v>0</v>
      </c>
      <c r="E12" s="13" t="str">
        <v>STK/PCS</v>
      </c>
      <c r="F12" s="13">
        <v>12</v>
      </c>
      <c r="G12" s="154">
        <v>44</v>
      </c>
      <c r="H12" s="32" cm="1">
        <f t="array" ref="H12:H38">Tabell4[V.NR KRAEMER]</f>
        <v>4566915</v>
      </c>
    </row>
    <row r="13" spans="1:10" x14ac:dyDescent="0.25">
      <c r="A13" s="17">
        <v>2</v>
      </c>
      <c r="B13" s="5">
        <v>7058040614704</v>
      </c>
      <c r="C13" s="10" t="str">
        <v>JUBELSALAMI 170G / SALAMI 170G</v>
      </c>
      <c r="D13" s="8">
        <v>0</v>
      </c>
      <c r="E13" s="12" t="str">
        <v>STK/PCS</v>
      </c>
      <c r="F13" s="12">
        <v>13</v>
      </c>
      <c r="G13" s="155">
        <v>69.900000000000006</v>
      </c>
      <c r="H13" s="32">
        <v>5452073</v>
      </c>
    </row>
    <row r="14" spans="1:10" x14ac:dyDescent="0.25">
      <c r="A14" s="17">
        <v>3</v>
      </c>
      <c r="B14" s="5">
        <v>7037204740640</v>
      </c>
      <c r="C14" s="10" t="str">
        <v>ROASTBIFF 100G / ROASTBEEF 100G</v>
      </c>
      <c r="D14" s="8">
        <v>0</v>
      </c>
      <c r="E14" s="12" t="str">
        <v>STK/PCS</v>
      </c>
      <c r="F14" s="12">
        <v>10</v>
      </c>
      <c r="G14" s="155">
        <v>44.9</v>
      </c>
      <c r="H14" s="32">
        <v>4569158</v>
      </c>
    </row>
    <row r="15" spans="1:10" x14ac:dyDescent="0.25">
      <c r="A15" s="17">
        <v>4</v>
      </c>
      <c r="B15" s="5">
        <v>8016451012006</v>
      </c>
      <c r="C15" s="10" t="str">
        <v>TANZI PARMASKINKE 200G / PARMAHAM 200G</v>
      </c>
      <c r="D15" s="8">
        <v>0</v>
      </c>
      <c r="E15" s="12" t="str">
        <v>STK/PCS</v>
      </c>
      <c r="F15" s="12">
        <v>10</v>
      </c>
      <c r="G15" s="155">
        <v>169</v>
      </c>
      <c r="H15" s="32">
        <v>712265</v>
      </c>
    </row>
    <row r="16" spans="1:10" x14ac:dyDescent="0.25">
      <c r="A16" s="17">
        <v>5</v>
      </c>
      <c r="B16" s="5">
        <v>7037204771323</v>
      </c>
      <c r="C16" s="10" t="str">
        <v>CHORIZO 130G SKIVET / CHORIZO SLICED 130G</v>
      </c>
      <c r="D16" s="8">
        <v>0</v>
      </c>
      <c r="E16" s="12" t="str">
        <v>STK/PCS</v>
      </c>
      <c r="F16" s="12">
        <v>10</v>
      </c>
      <c r="G16" s="155">
        <v>46.9</v>
      </c>
      <c r="H16" s="32">
        <v>4739637</v>
      </c>
    </row>
    <row r="17" spans="1:8" x14ac:dyDescent="0.25">
      <c r="A17" s="17">
        <v>6</v>
      </c>
      <c r="B17" s="5">
        <v>7037204191428</v>
      </c>
      <c r="C17" s="10" t="str">
        <v>PEPPERONI 130G SKIVET / PEPPERONI SLICED 130G</v>
      </c>
      <c r="D17" s="8">
        <v>0</v>
      </c>
      <c r="E17" s="12" t="str">
        <v>STK/PCS</v>
      </c>
      <c r="F17" s="12">
        <v>10</v>
      </c>
      <c r="G17" s="155">
        <v>45.9</v>
      </c>
      <c r="H17" s="32">
        <v>1659648</v>
      </c>
    </row>
    <row r="18" spans="1:8" x14ac:dyDescent="0.25">
      <c r="A18" s="17">
        <v>7</v>
      </c>
      <c r="B18" s="5">
        <v>7023539700718</v>
      </c>
      <c r="C18" s="10" t="str">
        <v>RØKT LAKS 260G / SMOKED SALMON 260G</v>
      </c>
      <c r="D18" s="8">
        <v>0</v>
      </c>
      <c r="E18" s="12" t="str">
        <v>STK/PCS</v>
      </c>
      <c r="F18" s="12">
        <v>4</v>
      </c>
      <c r="G18" s="155">
        <v>132.9</v>
      </c>
      <c r="H18" s="32">
        <v>5360763</v>
      </c>
    </row>
    <row r="19" spans="1:8" x14ac:dyDescent="0.25">
      <c r="A19" s="17">
        <v>8</v>
      </c>
      <c r="B19" s="5">
        <v>7038420002109</v>
      </c>
      <c r="C19" s="10" t="str">
        <v>KLIPPFISK DYPVIK 400G / CLIPFISH / DRY COD  400G</v>
      </c>
      <c r="D19" s="8">
        <v>0</v>
      </c>
      <c r="E19" s="12" t="str">
        <v>STK/PCS</v>
      </c>
      <c r="F19" s="12">
        <v>6</v>
      </c>
      <c r="G19" s="155">
        <v>136</v>
      </c>
      <c r="H19" s="32">
        <v>4961843</v>
      </c>
    </row>
    <row r="20" spans="1:8" x14ac:dyDescent="0.25">
      <c r="A20" s="17">
        <v>9</v>
      </c>
      <c r="B20" s="5">
        <v>7090007553817</v>
      </c>
      <c r="C20" s="10" t="str">
        <v>REIN SPEKESNAKK 25G / REINDEER SNACK 25G</v>
      </c>
      <c r="D20" s="8">
        <v>0</v>
      </c>
      <c r="E20" s="12" t="str">
        <v>STK/PCS</v>
      </c>
      <c r="F20" s="12">
        <v>50</v>
      </c>
      <c r="G20" s="155">
        <v>24.9</v>
      </c>
      <c r="H20" s="32">
        <v>2435014</v>
      </c>
    </row>
    <row r="21" spans="1:8" x14ac:dyDescent="0.25">
      <c r="A21" s="17">
        <v>10</v>
      </c>
      <c r="B21" s="5">
        <v>0</v>
      </c>
      <c r="C21" s="10" t="str">
        <v>TORSK LOIN / COD LOIN</v>
      </c>
      <c r="D21" s="8">
        <v>0</v>
      </c>
      <c r="E21" s="12" t="str">
        <v>KG</v>
      </c>
      <c r="F21" s="12">
        <v>1</v>
      </c>
      <c r="G21" s="155">
        <v>349</v>
      </c>
      <c r="H21" s="32">
        <v>0</v>
      </c>
    </row>
    <row r="22" spans="1:8" x14ac:dyDescent="0.25">
      <c r="A22" s="17">
        <v>11</v>
      </c>
      <c r="B22" s="5">
        <v>2223</v>
      </c>
      <c r="C22" s="10" t="str">
        <v>TORSK FILET / COD FILET</v>
      </c>
      <c r="D22" s="8">
        <v>0</v>
      </c>
      <c r="E22" s="12" t="str">
        <v>KG</v>
      </c>
      <c r="F22" s="12">
        <v>1</v>
      </c>
      <c r="G22" s="155">
        <v>210</v>
      </c>
      <c r="H22" s="32">
        <v>0</v>
      </c>
    </row>
    <row r="23" spans="1:8" x14ac:dyDescent="0.25">
      <c r="A23" s="17">
        <v>12</v>
      </c>
      <c r="B23" s="5">
        <v>2004</v>
      </c>
      <c r="C23" s="10" t="str">
        <v>LAKS FILET / SALMON FILET</v>
      </c>
      <c r="D23" s="8">
        <v>0</v>
      </c>
      <c r="E23" s="12" t="str">
        <v>KG</v>
      </c>
      <c r="F23" s="12">
        <v>1</v>
      </c>
      <c r="G23" s="155">
        <v>219</v>
      </c>
      <c r="H23" s="32">
        <v>0</v>
      </c>
    </row>
    <row r="24" spans="1:8" x14ac:dyDescent="0.25">
      <c r="A24" s="17">
        <v>13</v>
      </c>
      <c r="B24" s="5">
        <v>1915</v>
      </c>
      <c r="C24" s="10" t="str">
        <v>HYSE FILET / HADDOCK FILET</v>
      </c>
      <c r="D24" s="8">
        <v>0</v>
      </c>
      <c r="E24" s="12" t="str">
        <v>KG</v>
      </c>
      <c r="F24" s="12">
        <v>1</v>
      </c>
      <c r="G24" s="155">
        <v>149</v>
      </c>
      <c r="H24" s="32">
        <v>0</v>
      </c>
    </row>
    <row r="25" spans="1:8" x14ac:dyDescent="0.25">
      <c r="A25" s="17">
        <v>14</v>
      </c>
      <c r="B25" s="5">
        <v>1910</v>
      </c>
      <c r="C25" s="10" t="str">
        <v>SEI FILET / POLLOCK FILET</v>
      </c>
      <c r="D25" s="8">
        <v>0</v>
      </c>
      <c r="E25" s="12" t="str">
        <v>KG</v>
      </c>
      <c r="F25" s="12">
        <v>1</v>
      </c>
      <c r="G25" s="155">
        <v>109</v>
      </c>
      <c r="H25" s="32">
        <v>0</v>
      </c>
    </row>
    <row r="26" spans="1:8" x14ac:dyDescent="0.25">
      <c r="A26" s="17">
        <v>15</v>
      </c>
      <c r="B26" s="5">
        <v>1977</v>
      </c>
      <c r="C26" s="10" t="str">
        <v>BLÅSKJELL / MUSSELS</v>
      </c>
      <c r="D26" s="8">
        <v>0</v>
      </c>
      <c r="E26" s="12" t="str">
        <v>KG</v>
      </c>
      <c r="F26" s="12">
        <v>1</v>
      </c>
      <c r="G26" s="155">
        <v>79</v>
      </c>
      <c r="H26" s="32">
        <v>0</v>
      </c>
    </row>
    <row r="27" spans="1:8" x14ac:dyDescent="0.25">
      <c r="A27" s="17">
        <v>16</v>
      </c>
      <c r="B27" s="5">
        <v>1970</v>
      </c>
      <c r="C27" s="10" t="str">
        <v>REKER / SHRIMPS</v>
      </c>
      <c r="D27" s="8">
        <v>0</v>
      </c>
      <c r="E27" s="12" t="str">
        <v>KG</v>
      </c>
      <c r="F27" s="12">
        <v>1</v>
      </c>
      <c r="G27" s="155">
        <v>239</v>
      </c>
      <c r="H27" s="32">
        <v>0</v>
      </c>
    </row>
    <row r="28" spans="1:8" x14ac:dyDescent="0.25">
      <c r="A28" s="17">
        <v>17</v>
      </c>
      <c r="B28" s="5">
        <v>2046</v>
      </c>
      <c r="C28" s="10" t="str">
        <v>KVEITE HEL / HALIBUT WHOLE</v>
      </c>
      <c r="D28" s="8">
        <v>0</v>
      </c>
      <c r="E28" s="12" t="str">
        <v>KG</v>
      </c>
      <c r="F28" s="12">
        <v>1</v>
      </c>
      <c r="G28" s="155">
        <v>199</v>
      </c>
      <c r="H28" s="32">
        <v>0</v>
      </c>
    </row>
    <row r="29" spans="1:8" x14ac:dyDescent="0.25">
      <c r="A29" s="17">
        <v>18</v>
      </c>
      <c r="B29" s="5">
        <v>2046</v>
      </c>
      <c r="C29" s="10" t="str">
        <v>KVEITE FILET / HALIBUT FILET</v>
      </c>
      <c r="D29" s="8">
        <v>0</v>
      </c>
      <c r="E29" s="12" t="str">
        <v>KG</v>
      </c>
      <c r="F29" s="12">
        <v>1</v>
      </c>
      <c r="G29" s="155">
        <v>329</v>
      </c>
      <c r="H29" s="32">
        <v>0</v>
      </c>
    </row>
    <row r="30" spans="1:8" x14ac:dyDescent="0.25">
      <c r="A30" s="17">
        <v>19</v>
      </c>
      <c r="B30" s="5">
        <v>4989</v>
      </c>
      <c r="C30" s="10" t="str">
        <v>FLØTEGRATINERTE POTETER 2KG / GRATINATED POTATOES 2KG</v>
      </c>
      <c r="D30" s="8">
        <v>0</v>
      </c>
      <c r="E30" s="12" t="str">
        <v>KG</v>
      </c>
      <c r="F30" s="12">
        <v>10</v>
      </c>
      <c r="G30" s="155">
        <v>169</v>
      </c>
      <c r="H30" s="32">
        <v>1323724</v>
      </c>
    </row>
    <row r="31" spans="1:8" x14ac:dyDescent="0.25">
      <c r="A31" s="17">
        <v>20</v>
      </c>
      <c r="B31" s="5">
        <v>4802</v>
      </c>
      <c r="C31" s="10" t="str">
        <v>KARBONADER 120G x 21STK / BEEF PATTY 120G x 21PCS</v>
      </c>
      <c r="D31" s="8">
        <v>0</v>
      </c>
      <c r="E31" s="12" t="str">
        <v>CRT</v>
      </c>
      <c r="F31" s="12">
        <v>1</v>
      </c>
      <c r="G31" s="155">
        <v>417.9</v>
      </c>
      <c r="H31" s="32">
        <v>4267415</v>
      </c>
    </row>
    <row r="32" spans="1:8" x14ac:dyDescent="0.25">
      <c r="A32" s="17">
        <v>22</v>
      </c>
      <c r="B32" s="5">
        <v>4344</v>
      </c>
      <c r="C32" s="10" t="str">
        <v>LASAGNE 2KG / LASAGNE 2KG</v>
      </c>
      <c r="D32" s="8">
        <v>0</v>
      </c>
      <c r="E32" s="12" t="str">
        <v>KG</v>
      </c>
      <c r="F32" s="12">
        <v>3</v>
      </c>
      <c r="G32" s="155">
        <v>184</v>
      </c>
      <c r="H32" s="32">
        <v>4268538</v>
      </c>
    </row>
    <row r="33" spans="1:8" x14ac:dyDescent="0.25">
      <c r="A33" s="17">
        <v>23</v>
      </c>
      <c r="B33" s="5">
        <v>4807</v>
      </c>
      <c r="C33" s="10" t="str">
        <v>KYLLINGSPYD / CHICKEN SCEWERS</v>
      </c>
      <c r="D33" s="8">
        <v>0</v>
      </c>
      <c r="E33" s="12" t="str">
        <v>KG</v>
      </c>
      <c r="F33" s="12">
        <v>4</v>
      </c>
      <c r="G33" s="155">
        <v>119</v>
      </c>
      <c r="H33" s="32">
        <v>3098282</v>
      </c>
    </row>
    <row r="34" spans="1:8" x14ac:dyDescent="0.25">
      <c r="A34" s="161">
        <v>24</v>
      </c>
      <c r="B34" s="162">
        <v>0</v>
      </c>
      <c r="C34" s="163" t="str">
        <v>LEDIG</v>
      </c>
      <c r="D34" s="164">
        <v>0</v>
      </c>
      <c r="E34" s="165">
        <v>0</v>
      </c>
      <c r="F34" s="165">
        <v>0</v>
      </c>
      <c r="G34" s="166">
        <v>0</v>
      </c>
      <c r="H34" s="167">
        <v>0</v>
      </c>
    </row>
    <row r="35" spans="1:8" x14ac:dyDescent="0.25">
      <c r="A35" s="170">
        <v>25</v>
      </c>
      <c r="B35" s="171">
        <v>0</v>
      </c>
      <c r="C35" s="10" t="str">
        <v>LEDIG</v>
      </c>
      <c r="D35" s="8">
        <v>0</v>
      </c>
      <c r="E35" s="12">
        <v>0</v>
      </c>
      <c r="F35" s="12">
        <v>0</v>
      </c>
      <c r="G35" s="14">
        <v>0</v>
      </c>
      <c r="H35" s="32">
        <v>0</v>
      </c>
    </row>
    <row r="36" spans="1:8" x14ac:dyDescent="0.25">
      <c r="A36" s="170">
        <v>26</v>
      </c>
      <c r="B36" s="171">
        <v>0</v>
      </c>
      <c r="C36" s="10" t="str">
        <v>LEDIG</v>
      </c>
      <c r="D36" s="8">
        <v>0</v>
      </c>
      <c r="E36" s="12">
        <v>0</v>
      </c>
      <c r="F36" s="12">
        <v>0</v>
      </c>
      <c r="G36" s="14">
        <v>0</v>
      </c>
      <c r="H36" s="32">
        <v>0</v>
      </c>
    </row>
    <row r="37" spans="1:8" x14ac:dyDescent="0.25">
      <c r="A37" s="170">
        <v>27</v>
      </c>
      <c r="B37" s="171">
        <v>0</v>
      </c>
      <c r="C37" s="10" t="str">
        <v>LEDIG</v>
      </c>
      <c r="D37" s="8">
        <v>0</v>
      </c>
      <c r="E37" s="12">
        <v>0</v>
      </c>
      <c r="F37" s="12">
        <v>0</v>
      </c>
      <c r="G37" s="14">
        <v>0</v>
      </c>
      <c r="H37" s="32">
        <v>0</v>
      </c>
    </row>
    <row r="38" spans="1:8" x14ac:dyDescent="0.25">
      <c r="A38" s="170">
        <v>28</v>
      </c>
      <c r="B38" s="171">
        <v>0</v>
      </c>
      <c r="C38" s="10" t="str">
        <v>LEDIG</v>
      </c>
      <c r="D38" s="8">
        <v>0</v>
      </c>
      <c r="E38" s="12">
        <v>0</v>
      </c>
      <c r="F38" s="12">
        <v>0</v>
      </c>
      <c r="G38" s="14">
        <v>0</v>
      </c>
      <c r="H38" s="32">
        <v>0</v>
      </c>
    </row>
    <row r="39" spans="1:8" x14ac:dyDescent="0.25">
      <c r="A39" s="170"/>
      <c r="B39" s="171"/>
      <c r="C39" s="10"/>
      <c r="D39" s="8"/>
      <c r="E39" s="12"/>
      <c r="F39" s="12"/>
      <c r="G39" s="14"/>
      <c r="H39" s="32"/>
    </row>
    <row r="40" spans="1:8" x14ac:dyDescent="0.25">
      <c r="A40" s="151"/>
      <c r="B40" s="168"/>
      <c r="E40" s="151"/>
      <c r="F40" s="151"/>
      <c r="G40" s="169"/>
      <c r="H40" s="151"/>
    </row>
    <row r="41" spans="1:8" x14ac:dyDescent="0.25">
      <c r="H41" s="151"/>
    </row>
    <row r="42" spans="1:8" x14ac:dyDescent="0.25">
      <c r="H42" s="151"/>
    </row>
    <row r="43" spans="1:8" x14ac:dyDescent="0.25">
      <c r="H43" s="151"/>
    </row>
    <row r="44" spans="1:8" x14ac:dyDescent="0.25">
      <c r="H44" s="151"/>
    </row>
    <row r="45" spans="1:8" x14ac:dyDescent="0.25">
      <c r="H45" s="151"/>
    </row>
    <row r="46" spans="1:8" x14ac:dyDescent="0.25">
      <c r="H46" s="151"/>
    </row>
    <row r="47" spans="1:8" x14ac:dyDescent="0.25">
      <c r="H47" s="151"/>
    </row>
    <row r="48" spans="1:8" x14ac:dyDescent="0.25">
      <c r="H48" s="151"/>
    </row>
    <row r="49" spans="8:8" x14ac:dyDescent="0.25">
      <c r="H49" s="151"/>
    </row>
    <row r="50" spans="8:8" x14ac:dyDescent="0.25">
      <c r="H50" s="151"/>
    </row>
    <row r="51" spans="8:8" x14ac:dyDescent="0.25">
      <c r="H51" s="151"/>
    </row>
    <row r="52" spans="8:8" x14ac:dyDescent="0.25">
      <c r="H52" s="151"/>
    </row>
    <row r="53" spans="8:8" x14ac:dyDescent="0.25">
      <c r="H53" s="151"/>
    </row>
    <row r="54" spans="8:8" x14ac:dyDescent="0.25">
      <c r="H54" s="151"/>
    </row>
    <row r="55" spans="8:8" x14ac:dyDescent="0.25">
      <c r="H55" s="151"/>
    </row>
    <row r="56" spans="8:8" x14ac:dyDescent="0.25">
      <c r="H56" s="151"/>
    </row>
    <row r="57" spans="8:8" x14ac:dyDescent="0.25">
      <c r="H57" s="151"/>
    </row>
    <row r="58" spans="8:8" x14ac:dyDescent="0.25">
      <c r="H58" s="151"/>
    </row>
    <row r="59" spans="8:8" x14ac:dyDescent="0.25">
      <c r="H59" s="151"/>
    </row>
    <row r="60" spans="8:8" x14ac:dyDescent="0.25">
      <c r="H60" s="151"/>
    </row>
    <row r="61" spans="8:8" x14ac:dyDescent="0.25">
      <c r="H61" s="151"/>
    </row>
    <row r="62" spans="8:8" x14ac:dyDescent="0.25">
      <c r="H62" s="151"/>
    </row>
    <row r="63" spans="8:8" x14ac:dyDescent="0.25">
      <c r="H63" s="151"/>
    </row>
    <row r="64" spans="8:8" x14ac:dyDescent="0.25">
      <c r="H64" s="151"/>
    </row>
    <row r="65" spans="8:8" x14ac:dyDescent="0.25">
      <c r="H65" s="151"/>
    </row>
  </sheetData>
  <autoFilter ref="A11:H11" xr:uid="{A7208376-B0CA-4D52-B49D-15E68F00E329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75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4F21-EDC5-4BAA-895D-C865B7E7EE8E}">
  <sheetPr codeName="Ark6">
    <pageSetUpPr fitToPage="1"/>
  </sheetPr>
  <dimension ref="A1:J110"/>
  <sheetViews>
    <sheetView showZeros="0" topLeftCell="A33" zoomScale="80" zoomScaleNormal="80" workbookViewId="0">
      <selection activeCell="D12" sqref="D12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46.8554687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6"/>
      <c r="C2" s="7"/>
      <c r="D2" s="48"/>
      <c r="E2" s="66"/>
      <c r="F2" s="67"/>
      <c r="G2" s="7"/>
      <c r="H2" s="46"/>
      <c r="I2" s="6"/>
    </row>
    <row r="3" spans="1:10" ht="19.5" thickBot="1" x14ac:dyDescent="0.35">
      <c r="A3" s="6"/>
      <c r="B3" s="63"/>
      <c r="C3" s="7"/>
      <c r="D3" s="44"/>
      <c r="E3" s="64"/>
      <c r="F3" s="65"/>
      <c r="G3" s="7"/>
      <c r="H3" s="63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6"/>
      <c r="C5" s="7"/>
      <c r="D5" s="46"/>
      <c r="E5" s="7"/>
      <c r="F5" s="7"/>
      <c r="G5" s="7"/>
      <c r="H5" s="46"/>
      <c r="I5" s="6"/>
    </row>
    <row r="6" spans="1:10" ht="19.5" thickBot="1" x14ac:dyDescent="0.35">
      <c r="A6" s="6"/>
      <c r="B6" s="63"/>
      <c r="C6" s="7"/>
      <c r="D6" s="63"/>
      <c r="E6" s="7"/>
      <c r="F6" s="7"/>
      <c r="G6" s="7"/>
      <c r="H6" s="63"/>
      <c r="I6" s="6"/>
    </row>
    <row r="10" spans="1:10" ht="23.25" x14ac:dyDescent="0.35">
      <c r="A10" s="216" t="s">
        <v>203</v>
      </c>
      <c r="B10" s="216"/>
      <c r="C10" s="216"/>
      <c r="D10" s="216"/>
      <c r="E10" s="216"/>
      <c r="F10" s="216"/>
      <c r="G10" s="216"/>
      <c r="H10" s="16"/>
      <c r="I10" s="16"/>
      <c r="J10" s="16"/>
    </row>
    <row r="11" spans="1:10" ht="30" x14ac:dyDescent="0.25">
      <c r="A11" s="1" t="s">
        <v>6</v>
      </c>
      <c r="B11" s="1" t="s">
        <v>7</v>
      </c>
      <c r="C11" s="2" t="s">
        <v>8</v>
      </c>
      <c r="D11" s="2" t="s">
        <v>9</v>
      </c>
      <c r="E11" s="2" t="s">
        <v>10</v>
      </c>
      <c r="F11" s="3" t="s">
        <v>11</v>
      </c>
      <c r="G11" s="4" t="s">
        <v>12</v>
      </c>
      <c r="H11" s="153" t="s">
        <v>421</v>
      </c>
    </row>
    <row r="12" spans="1:10" x14ac:dyDescent="0.25">
      <c r="A12" s="18" cm="1">
        <f t="array" ref="A12:G95">Tabell5[[NUMMER]:[NOK]]</f>
        <v>1</v>
      </c>
      <c r="B12" s="19">
        <v>480057</v>
      </c>
      <c r="C12" s="11" t="str">
        <v>KJØTTDEIG 2,5KG / MINCE MEAT 2,5KG</v>
      </c>
      <c r="D12" s="9">
        <v>0</v>
      </c>
      <c r="E12" s="13" t="str">
        <v>STK/PCS</v>
      </c>
      <c r="F12" s="13">
        <v>1</v>
      </c>
      <c r="G12" s="154">
        <v>222.5</v>
      </c>
      <c r="H12" s="32" cm="1">
        <f t="array" ref="H12:H95">Tabell5[V.NR KRAEMER]</f>
        <v>16139</v>
      </c>
    </row>
    <row r="13" spans="1:10" x14ac:dyDescent="0.25">
      <c r="A13" s="17">
        <v>2</v>
      </c>
      <c r="B13" s="5">
        <v>2000842700000</v>
      </c>
      <c r="C13" s="10" t="str">
        <v xml:space="preserve">SVIN INDREFILET / PORK TENDERLOIN </v>
      </c>
      <c r="D13" s="8">
        <v>0</v>
      </c>
      <c r="E13" s="12" t="str">
        <v>KG</v>
      </c>
      <c r="F13" s="12">
        <v>1</v>
      </c>
      <c r="G13" s="155">
        <v>139</v>
      </c>
      <c r="H13" s="32">
        <v>10106</v>
      </c>
    </row>
    <row r="14" spans="1:10" x14ac:dyDescent="0.25">
      <c r="A14" s="17">
        <v>3</v>
      </c>
      <c r="B14" s="5">
        <v>2000482000000</v>
      </c>
      <c r="C14" s="10" t="str">
        <v>SVINENAKKE / PORK NECK</v>
      </c>
      <c r="D14" s="8">
        <v>0</v>
      </c>
      <c r="E14" s="12" t="str">
        <v>KG</v>
      </c>
      <c r="F14" s="12">
        <v>1</v>
      </c>
      <c r="G14" s="155">
        <v>109</v>
      </c>
      <c r="H14" s="32">
        <v>1964</v>
      </c>
    </row>
    <row r="15" spans="1:10" x14ac:dyDescent="0.25">
      <c r="A15" s="17">
        <v>4</v>
      </c>
      <c r="B15" s="5">
        <v>7037204190384</v>
      </c>
      <c r="C15" s="10" t="str">
        <v>NAKKEKOTELETTER / PORK LOIN CHOP 1KG</v>
      </c>
      <c r="D15" s="8">
        <v>0</v>
      </c>
      <c r="E15" s="12" t="str">
        <v>STK/PCS</v>
      </c>
      <c r="F15" s="12">
        <v>1</v>
      </c>
      <c r="G15" s="155">
        <v>99.9</v>
      </c>
      <c r="H15" s="32">
        <v>1889</v>
      </c>
    </row>
    <row r="16" spans="1:10" x14ac:dyDescent="0.25">
      <c r="A16" s="17">
        <v>5</v>
      </c>
      <c r="B16" s="5">
        <v>2000841100000</v>
      </c>
      <c r="C16" s="10" t="str">
        <v xml:space="preserve">SVINERIBBE KG / PORKBELLY </v>
      </c>
      <c r="D16" s="8">
        <v>0</v>
      </c>
      <c r="E16" s="12" t="str">
        <v>KG</v>
      </c>
      <c r="F16" s="12">
        <v>1</v>
      </c>
      <c r="G16" s="155">
        <v>89</v>
      </c>
      <c r="H16" s="32">
        <v>16669</v>
      </c>
    </row>
    <row r="17" spans="1:8" x14ac:dyDescent="0.25">
      <c r="A17" s="17">
        <v>6</v>
      </c>
      <c r="B17" s="5">
        <v>2000333200000</v>
      </c>
      <c r="C17" s="10" t="str">
        <v>ENTRECOTE STORFE / ENTRECOTE</v>
      </c>
      <c r="D17" s="8">
        <v>0</v>
      </c>
      <c r="E17" s="12" t="str">
        <v>KG</v>
      </c>
      <c r="F17" s="12">
        <v>1</v>
      </c>
      <c r="G17" s="155">
        <v>169</v>
      </c>
      <c r="H17" s="32">
        <v>15464</v>
      </c>
    </row>
    <row r="18" spans="1:8" x14ac:dyDescent="0.25">
      <c r="A18" s="17">
        <v>7</v>
      </c>
      <c r="B18" s="5">
        <v>2000824700000</v>
      </c>
      <c r="C18" s="10" t="str">
        <v>INDREFILET STORFE / BEEF TENDERLOIN</v>
      </c>
      <c r="D18" s="8">
        <v>0</v>
      </c>
      <c r="E18" s="12" t="str">
        <v>KG</v>
      </c>
      <c r="F18" s="12">
        <v>1</v>
      </c>
      <c r="G18" s="155">
        <v>399</v>
      </c>
      <c r="H18" s="32">
        <v>14806</v>
      </c>
    </row>
    <row r="19" spans="1:8" x14ac:dyDescent="0.25">
      <c r="A19" s="17">
        <v>8</v>
      </c>
      <c r="B19" s="5">
        <v>7090013710013</v>
      </c>
      <c r="C19" s="10" t="str">
        <v>FINNBIFF 400G / REINDEER FOR STEW 400G</v>
      </c>
      <c r="D19" s="8">
        <v>0</v>
      </c>
      <c r="E19" s="12" t="str">
        <v>STK/PCS</v>
      </c>
      <c r="F19" s="12">
        <v>1</v>
      </c>
      <c r="G19" s="155">
        <v>219</v>
      </c>
      <c r="H19" s="32">
        <v>13724506</v>
      </c>
    </row>
    <row r="20" spans="1:8" x14ac:dyDescent="0.25">
      <c r="A20" s="17">
        <v>9</v>
      </c>
      <c r="B20" s="5">
        <v>8711367630381</v>
      </c>
      <c r="C20" s="10" t="str">
        <v>BACON 400G / BACON 400G</v>
      </c>
      <c r="D20" s="8">
        <v>0</v>
      </c>
      <c r="E20" s="12" t="str">
        <v>STK/PCS</v>
      </c>
      <c r="F20" s="12">
        <v>1</v>
      </c>
      <c r="G20" s="155">
        <v>54</v>
      </c>
      <c r="H20" s="32">
        <v>16614</v>
      </c>
    </row>
    <row r="21" spans="1:8" x14ac:dyDescent="0.25">
      <c r="A21" s="17">
        <v>10</v>
      </c>
      <c r="B21" s="5">
        <v>2000719000000</v>
      </c>
      <c r="C21" s="10" t="str">
        <v>KALKUNFILET / TURKEY FILET KG</v>
      </c>
      <c r="D21" s="8">
        <v>0</v>
      </c>
      <c r="E21" s="12" t="str">
        <v>KG</v>
      </c>
      <c r="F21" s="12">
        <v>1</v>
      </c>
      <c r="G21" s="155">
        <v>109</v>
      </c>
      <c r="H21" s="32">
        <v>17794</v>
      </c>
    </row>
    <row r="22" spans="1:8" x14ac:dyDescent="0.25">
      <c r="A22" s="17">
        <v>11</v>
      </c>
      <c r="B22" s="5">
        <v>7898040081614</v>
      </c>
      <c r="C22" s="10" t="str">
        <v>KYLLINGBRYSTFILET 2,5KG / CHICKEN BREAST 2,5KG</v>
      </c>
      <c r="D22" s="8">
        <v>0</v>
      </c>
      <c r="E22" s="12" t="str">
        <v>STK/PCS</v>
      </c>
      <c r="F22" s="12">
        <v>1</v>
      </c>
      <c r="G22" s="155">
        <v>229</v>
      </c>
      <c r="H22" s="32">
        <v>1865</v>
      </c>
    </row>
    <row r="23" spans="1:8" x14ac:dyDescent="0.25">
      <c r="A23" s="17">
        <v>12</v>
      </c>
      <c r="B23" s="5">
        <v>7300321338008</v>
      </c>
      <c r="C23" s="10" t="str">
        <v>KYLLINGLÅR 2,5KG / CHICKEN LEG 2,5KG</v>
      </c>
      <c r="D23" s="8">
        <v>0</v>
      </c>
      <c r="E23" s="12" t="str">
        <v>STK/PCS</v>
      </c>
      <c r="F23" s="12">
        <v>1</v>
      </c>
      <c r="G23" s="155">
        <v>199</v>
      </c>
      <c r="H23" s="32">
        <v>1867</v>
      </c>
    </row>
    <row r="24" spans="1:8" x14ac:dyDescent="0.25">
      <c r="A24" s="17">
        <v>13</v>
      </c>
      <c r="B24" s="5">
        <v>5760725113274</v>
      </c>
      <c r="C24" s="10" t="str">
        <v>KYLLINGVINGER 2KG / CHICKEN WINGS 2KG</v>
      </c>
      <c r="D24" s="8">
        <v>0</v>
      </c>
      <c r="E24" s="12" t="str">
        <v>STK/PCS</v>
      </c>
      <c r="F24" s="12">
        <v>1</v>
      </c>
      <c r="G24" s="155">
        <v>129</v>
      </c>
      <c r="H24" s="32">
        <v>4329694</v>
      </c>
    </row>
    <row r="25" spans="1:8" x14ac:dyDescent="0.25">
      <c r="A25" s="17">
        <v>14</v>
      </c>
      <c r="B25" s="5">
        <v>5760725207430</v>
      </c>
      <c r="C25" s="10" t="str">
        <v>HEL KYLLING 1,5KG / CHICKEN WHOLE 1,5KG</v>
      </c>
      <c r="D25" s="8">
        <v>0</v>
      </c>
      <c r="E25" s="12" t="str">
        <v>STK/PCS</v>
      </c>
      <c r="F25" s="12">
        <v>1</v>
      </c>
      <c r="G25" s="155">
        <v>79.900000000000006</v>
      </c>
      <c r="H25" s="32">
        <v>1864</v>
      </c>
    </row>
    <row r="26" spans="1:8" x14ac:dyDescent="0.25">
      <c r="A26" s="17">
        <v>15</v>
      </c>
      <c r="B26" s="5">
        <v>2667209000000</v>
      </c>
      <c r="C26" s="10" t="str">
        <v>ANDELÅR 1KG / DUCKLEGS 1KG</v>
      </c>
      <c r="D26" s="8">
        <v>0</v>
      </c>
      <c r="E26" s="12" t="str">
        <v>KG</v>
      </c>
      <c r="F26" s="12">
        <v>1</v>
      </c>
      <c r="G26" s="155">
        <v>177.95</v>
      </c>
      <c r="H26" s="32">
        <v>2565224</v>
      </c>
    </row>
    <row r="27" spans="1:8" x14ac:dyDescent="0.25">
      <c r="A27" s="17">
        <v>16</v>
      </c>
      <c r="B27" s="5">
        <v>2085930000000</v>
      </c>
      <c r="C27" s="10" t="str">
        <v>ANDEBRYST 4PK 1,2KG / DUCKBREAST 4PC 1,2KG</v>
      </c>
      <c r="D27" s="8">
        <v>0</v>
      </c>
      <c r="E27" s="12" t="str">
        <v>KG</v>
      </c>
      <c r="F27" s="12">
        <v>1</v>
      </c>
      <c r="G27" s="155">
        <v>499</v>
      </c>
      <c r="H27" s="32">
        <v>2565224</v>
      </c>
    </row>
    <row r="28" spans="1:8" x14ac:dyDescent="0.25">
      <c r="A28" s="17">
        <v>17</v>
      </c>
      <c r="B28" s="5">
        <v>2001538000000</v>
      </c>
      <c r="C28" s="10" t="str">
        <v xml:space="preserve">SPARERIBS  SOUS VIDE / SPARERIBS PRECOOKED </v>
      </c>
      <c r="D28" s="8">
        <v>0</v>
      </c>
      <c r="E28" s="12" t="str">
        <v>KG</v>
      </c>
      <c r="F28" s="12">
        <v>1</v>
      </c>
      <c r="G28" s="155">
        <v>319</v>
      </c>
      <c r="H28" s="32">
        <v>17685</v>
      </c>
    </row>
    <row r="29" spans="1:8" x14ac:dyDescent="0.25">
      <c r="A29" s="17">
        <v>18</v>
      </c>
      <c r="B29" s="5">
        <v>470999</v>
      </c>
      <c r="C29" s="10" t="str">
        <v>FROKOSTPØLSER 5KG / BREAKFAST SAUSAGE 5KG</v>
      </c>
      <c r="D29" s="8">
        <v>0</v>
      </c>
      <c r="E29" s="12" t="str">
        <v>STK/PCS</v>
      </c>
      <c r="F29" s="12">
        <v>1</v>
      </c>
      <c r="G29" s="155">
        <v>727.4</v>
      </c>
      <c r="H29" s="32">
        <v>16734</v>
      </c>
    </row>
    <row r="30" spans="1:8" x14ac:dyDescent="0.25">
      <c r="A30" s="17">
        <v>19</v>
      </c>
      <c r="B30" s="5">
        <v>471007</v>
      </c>
      <c r="C30" s="10" t="str">
        <v>URTEPØLSER / HERB SAUSAGES</v>
      </c>
      <c r="D30" s="8">
        <v>0</v>
      </c>
      <c r="E30" s="12" t="str">
        <v>KG</v>
      </c>
      <c r="F30" s="12">
        <v>1</v>
      </c>
      <c r="G30" s="155">
        <v>199</v>
      </c>
      <c r="H30" s="32">
        <v>11187123</v>
      </c>
    </row>
    <row r="31" spans="1:8" x14ac:dyDescent="0.25">
      <c r="A31" s="17">
        <v>20</v>
      </c>
      <c r="B31" s="5">
        <v>471006</v>
      </c>
      <c r="C31" s="10" t="str">
        <v xml:space="preserve">CHILI TAPASPØLSE 20G / CHILI TAPAS SAUSAGE </v>
      </c>
      <c r="D31" s="8">
        <v>0</v>
      </c>
      <c r="E31" s="12" t="str">
        <v>KG</v>
      </c>
      <c r="F31" s="12">
        <v>1</v>
      </c>
      <c r="G31" s="155">
        <v>249</v>
      </c>
      <c r="H31" s="32">
        <v>17032</v>
      </c>
    </row>
    <row r="32" spans="1:8" x14ac:dyDescent="0.25">
      <c r="A32" s="17">
        <v>21</v>
      </c>
      <c r="B32" s="5">
        <v>2000241000000</v>
      </c>
      <c r="C32" s="10" t="str">
        <v>LAKS HEL FILET CA 2KG / SALMON FILET CA 2 KG</v>
      </c>
      <c r="D32" s="8">
        <v>0</v>
      </c>
      <c r="E32" s="12" t="str">
        <v>KG</v>
      </c>
      <c r="F32" s="12">
        <v>1</v>
      </c>
      <c r="G32" s="155">
        <v>269</v>
      </c>
      <c r="H32" s="32">
        <v>0</v>
      </c>
    </row>
    <row r="33" spans="1:8" x14ac:dyDescent="0.25">
      <c r="A33" s="17">
        <v>22</v>
      </c>
      <c r="B33" s="5">
        <v>7340011450665</v>
      </c>
      <c r="C33" s="10" t="str">
        <v>TORSK LOIN 4 x 125G / COD LOIN 4 x 125G</v>
      </c>
      <c r="D33" s="8">
        <v>0</v>
      </c>
      <c r="E33" s="12" t="str">
        <v>STK/PCS</v>
      </c>
      <c r="F33" s="12">
        <v>1</v>
      </c>
      <c r="G33" s="155">
        <v>88.9</v>
      </c>
      <c r="H33" s="32">
        <v>0</v>
      </c>
    </row>
    <row r="34" spans="1:8" x14ac:dyDescent="0.25">
      <c r="A34" s="17">
        <v>23</v>
      </c>
      <c r="B34" s="5">
        <v>7310500068770</v>
      </c>
      <c r="C34" s="10" t="str">
        <v>TORSKEFILET GOUMET 5KG / CODFILET 5KG</v>
      </c>
      <c r="D34" s="8">
        <v>0</v>
      </c>
      <c r="E34" s="12" t="str">
        <v>STK/PCS</v>
      </c>
      <c r="F34" s="12">
        <v>1</v>
      </c>
      <c r="G34" s="155">
        <v>1499</v>
      </c>
      <c r="H34" s="32">
        <v>1663202</v>
      </c>
    </row>
    <row r="35" spans="1:8" x14ac:dyDescent="0.25">
      <c r="A35" s="17">
        <v>24</v>
      </c>
      <c r="B35" s="5">
        <v>471022</v>
      </c>
      <c r="C35" s="10" t="str">
        <v>SEI CORDON BLEU 6,48KG / SEI CORDON BLUE 6,48KG</v>
      </c>
      <c r="D35" s="8">
        <v>0</v>
      </c>
      <c r="E35" s="12" t="str">
        <v>STK/PCS</v>
      </c>
      <c r="F35" s="12">
        <v>1</v>
      </c>
      <c r="G35" s="155">
        <v>1199</v>
      </c>
      <c r="H35" s="32">
        <v>732487</v>
      </c>
    </row>
    <row r="36" spans="1:8" x14ac:dyDescent="0.25">
      <c r="A36" s="17">
        <v>25</v>
      </c>
      <c r="B36" s="5">
        <v>27035620003473</v>
      </c>
      <c r="C36" s="10" t="str">
        <v>LAKS PORSJON UTEN SKINN 5KG / SALMON PORTION 5KG</v>
      </c>
      <c r="D36" s="8">
        <v>0</v>
      </c>
      <c r="E36" s="12" t="str">
        <v>STK/PCS</v>
      </c>
      <c r="F36" s="12">
        <v>1</v>
      </c>
      <c r="G36" s="155">
        <v>1999</v>
      </c>
      <c r="H36" s="32">
        <v>3102092</v>
      </c>
    </row>
    <row r="37" spans="1:8" x14ac:dyDescent="0.25">
      <c r="A37" s="17">
        <v>26</v>
      </c>
      <c r="B37" s="5">
        <v>7036260011664</v>
      </c>
      <c r="C37" s="10" t="str">
        <v>TORSKELOIN 5KG / COD LOIN 5KG</v>
      </c>
      <c r="D37" s="8">
        <v>0</v>
      </c>
      <c r="E37" s="12" t="str">
        <v>STK/PCS</v>
      </c>
      <c r="F37" s="12">
        <v>1</v>
      </c>
      <c r="G37" s="155">
        <v>1599</v>
      </c>
      <c r="H37" s="32">
        <v>379438</v>
      </c>
    </row>
    <row r="38" spans="1:8" x14ac:dyDescent="0.25">
      <c r="A38" s="17">
        <v>27</v>
      </c>
      <c r="B38" s="5">
        <v>97036260000760</v>
      </c>
      <c r="C38" s="10" t="str">
        <v>ISHAVSRØYEFILET 5KG / ARCTIC CHAR FILET 5KG</v>
      </c>
      <c r="D38" s="8">
        <v>0</v>
      </c>
      <c r="E38" s="12" t="str">
        <v>STK/PCS</v>
      </c>
      <c r="F38" s="12">
        <v>1</v>
      </c>
      <c r="G38" s="155">
        <v>1999</v>
      </c>
      <c r="H38" s="32">
        <v>2094589</v>
      </c>
    </row>
    <row r="39" spans="1:8" x14ac:dyDescent="0.25">
      <c r="A39" s="17">
        <v>28</v>
      </c>
      <c r="B39" s="5">
        <v>97033352096052</v>
      </c>
      <c r="C39" s="10" t="str">
        <v>LAKSEFILET MED SKINN 15KG / SALMON FILET 15KG</v>
      </c>
      <c r="D39" s="8">
        <v>0</v>
      </c>
      <c r="E39" s="12" t="str">
        <v>STK/PCS</v>
      </c>
      <c r="F39" s="12">
        <v>1</v>
      </c>
      <c r="G39" s="155">
        <v>2985</v>
      </c>
      <c r="H39" s="32">
        <v>4732582</v>
      </c>
    </row>
    <row r="40" spans="1:8" x14ac:dyDescent="0.25">
      <c r="A40" s="17">
        <v>29</v>
      </c>
      <c r="B40" s="5">
        <v>7036260116017</v>
      </c>
      <c r="C40" s="10" t="str">
        <v>BREIFLABBFILET 5KG / BREAMFILET 5KG</v>
      </c>
      <c r="D40" s="8">
        <v>0</v>
      </c>
      <c r="E40" s="12" t="str">
        <v>STK/PCS</v>
      </c>
      <c r="F40" s="12">
        <v>1</v>
      </c>
      <c r="G40" s="155">
        <v>1399</v>
      </c>
      <c r="H40" s="32">
        <v>1525856</v>
      </c>
    </row>
    <row r="41" spans="1:8" x14ac:dyDescent="0.25">
      <c r="A41" s="17">
        <v>30</v>
      </c>
      <c r="B41" s="5">
        <v>7036261015661</v>
      </c>
      <c r="C41" s="10" t="str">
        <v>STEINBIT PORSJON 5KG / CATFISH PORTION 5KG</v>
      </c>
      <c r="D41" s="8">
        <v>0</v>
      </c>
      <c r="E41" s="12" t="str">
        <v>STK/PCS</v>
      </c>
      <c r="F41" s="12">
        <v>1</v>
      </c>
      <c r="G41" s="155">
        <v>999</v>
      </c>
      <c r="H41" s="32">
        <v>1473453</v>
      </c>
    </row>
    <row r="42" spans="1:8" x14ac:dyDescent="0.25">
      <c r="A42" s="17">
        <v>31</v>
      </c>
      <c r="B42" s="5">
        <v>7021430000883</v>
      </c>
      <c r="C42" s="10" t="str">
        <v>MAKRELLFILET 5KG / MACKEREL FILET 5KG</v>
      </c>
      <c r="D42" s="8">
        <v>0</v>
      </c>
      <c r="E42" s="12" t="str">
        <v>STK/PCS</v>
      </c>
      <c r="F42" s="12">
        <v>1</v>
      </c>
      <c r="G42" s="155">
        <v>899</v>
      </c>
      <c r="H42" s="32">
        <v>612275</v>
      </c>
    </row>
    <row r="43" spans="1:8" x14ac:dyDescent="0.25">
      <c r="A43" s="17">
        <v>32</v>
      </c>
      <c r="B43" s="5">
        <v>7090010090064</v>
      </c>
      <c r="C43" s="10" t="str">
        <v>HVALBIFF 5KG / WHALE FILET 5KG</v>
      </c>
      <c r="D43" s="8">
        <v>0</v>
      </c>
      <c r="E43" s="12" t="str">
        <v>STK/PCS</v>
      </c>
      <c r="F43" s="12">
        <v>1</v>
      </c>
      <c r="G43" s="155">
        <v>1899</v>
      </c>
      <c r="H43" s="32">
        <v>1834910</v>
      </c>
    </row>
    <row r="44" spans="1:8" x14ac:dyDescent="0.25">
      <c r="A44" s="17">
        <v>33</v>
      </c>
      <c r="B44" s="5">
        <v>97090016861197</v>
      </c>
      <c r="C44" s="10" t="str">
        <v>KVEITESKIVER 5KG / HALIBUT SLICES 5KG</v>
      </c>
      <c r="D44" s="8">
        <v>0</v>
      </c>
      <c r="E44" s="12" t="str">
        <v>STK/PCS</v>
      </c>
      <c r="F44" s="12">
        <v>1</v>
      </c>
      <c r="G44" s="155">
        <v>1999</v>
      </c>
      <c r="H44" s="32">
        <v>4930079</v>
      </c>
    </row>
    <row r="45" spans="1:8" x14ac:dyDescent="0.25">
      <c r="A45" s="17">
        <v>34</v>
      </c>
      <c r="B45" s="5">
        <v>7036261156500</v>
      </c>
      <c r="C45" s="10" t="str">
        <v>HOKI LOINS PORSJON 5KG / HOKI LOIN PORTION 5KG</v>
      </c>
      <c r="D45" s="8">
        <v>0</v>
      </c>
      <c r="E45" s="12" t="str">
        <v>STK/PCS</v>
      </c>
      <c r="F45" s="12">
        <v>1</v>
      </c>
      <c r="G45" s="155">
        <v>1199</v>
      </c>
      <c r="H45" s="32">
        <v>830695</v>
      </c>
    </row>
    <row r="46" spans="1:8" x14ac:dyDescent="0.25">
      <c r="A46" s="17">
        <v>35</v>
      </c>
      <c r="B46" s="5">
        <v>7035620049224</v>
      </c>
      <c r="C46" s="10" t="str">
        <v>RØKELAKS SKIVER 1KG / SMOKED SALMON SLICED 1KG</v>
      </c>
      <c r="D46" s="8">
        <v>0</v>
      </c>
      <c r="E46" s="12" t="str">
        <v>KG</v>
      </c>
      <c r="F46" s="12">
        <v>1</v>
      </c>
      <c r="G46" s="155">
        <v>349</v>
      </c>
      <c r="H46" s="32">
        <v>3232733</v>
      </c>
    </row>
    <row r="47" spans="1:8" x14ac:dyDescent="0.25">
      <c r="A47" s="17">
        <v>36</v>
      </c>
      <c r="B47" s="5">
        <v>7021450005110</v>
      </c>
      <c r="C47" s="10" t="str">
        <v>SEAFOOD MIX 400G / SEAFOOD MIX 400G</v>
      </c>
      <c r="D47" s="8">
        <v>0</v>
      </c>
      <c r="E47" s="12" t="str">
        <v>STK/PCS</v>
      </c>
      <c r="F47" s="12">
        <v>1</v>
      </c>
      <c r="G47" s="155">
        <v>69.900000000000006</v>
      </c>
      <c r="H47" s="32">
        <v>4993150</v>
      </c>
    </row>
    <row r="48" spans="1:8" x14ac:dyDescent="0.25">
      <c r="A48" s="17">
        <v>37</v>
      </c>
      <c r="B48" s="5">
        <v>570771501196</v>
      </c>
      <c r="C48" s="10" t="str">
        <v>SCAMPI BLACK TIGER 1KG / SCAMPI BLACK TIGER 1KG</v>
      </c>
      <c r="D48" s="8">
        <v>0</v>
      </c>
      <c r="E48" s="12" t="str">
        <v>STK/PCS</v>
      </c>
      <c r="F48" s="12">
        <v>1</v>
      </c>
      <c r="G48" s="155">
        <v>179</v>
      </c>
      <c r="H48" s="32">
        <v>4227005</v>
      </c>
    </row>
    <row r="49" spans="1:8" x14ac:dyDescent="0.25">
      <c r="A49" s="17">
        <v>38</v>
      </c>
      <c r="B49" s="5">
        <v>5702008130998</v>
      </c>
      <c r="C49" s="10" t="str">
        <v>AKKARTUBER 1KG / SQUID TUBES 1KG</v>
      </c>
      <c r="D49" s="8">
        <v>0</v>
      </c>
      <c r="E49" s="12" t="str">
        <v>STK/PCS</v>
      </c>
      <c r="F49" s="12">
        <v>1</v>
      </c>
      <c r="G49" s="155">
        <v>119</v>
      </c>
      <c r="H49" s="32">
        <v>0</v>
      </c>
    </row>
    <row r="50" spans="1:8" x14ac:dyDescent="0.25">
      <c r="A50" s="17">
        <v>39</v>
      </c>
      <c r="B50" s="5">
        <v>7340011458081</v>
      </c>
      <c r="C50" s="10" t="str">
        <v>BROKKOLIBUKETTER 700G / BROCCOLITOPS 700G</v>
      </c>
      <c r="D50" s="8">
        <v>0</v>
      </c>
      <c r="E50" s="12" t="str">
        <v>STK/PCS</v>
      </c>
      <c r="F50" s="12">
        <v>1</v>
      </c>
      <c r="G50" s="155">
        <v>22.9</v>
      </c>
      <c r="H50" s="32">
        <v>17872</v>
      </c>
    </row>
    <row r="51" spans="1:8" x14ac:dyDescent="0.25">
      <c r="A51" s="17">
        <v>40</v>
      </c>
      <c r="B51" s="5">
        <v>7026510116409</v>
      </c>
      <c r="C51" s="10" t="str">
        <v>BLOMKÅLBUKETTER 2KG /CAULIFLOWER 2KG</v>
      </c>
      <c r="D51" s="8">
        <v>0</v>
      </c>
      <c r="E51" s="12" t="str">
        <v>STK/PCS</v>
      </c>
      <c r="F51" s="12">
        <v>1</v>
      </c>
      <c r="G51" s="155">
        <v>104</v>
      </c>
      <c r="H51" s="32">
        <v>1817</v>
      </c>
    </row>
    <row r="52" spans="1:8" x14ac:dyDescent="0.25">
      <c r="A52" s="17">
        <v>41</v>
      </c>
      <c r="B52" s="5">
        <v>7340011442851</v>
      </c>
      <c r="C52" s="10" t="str">
        <v>MINIGULROT 450G / MINI CARROTS 450G</v>
      </c>
      <c r="D52" s="8">
        <v>0</v>
      </c>
      <c r="E52" s="12" t="str">
        <v>STK/PCS</v>
      </c>
      <c r="F52" s="12">
        <v>1</v>
      </c>
      <c r="G52" s="155">
        <v>20.5</v>
      </c>
      <c r="H52" s="32">
        <v>0</v>
      </c>
    </row>
    <row r="53" spans="1:8" x14ac:dyDescent="0.25">
      <c r="A53" s="17">
        <v>42</v>
      </c>
      <c r="B53" s="5">
        <v>7026510012343</v>
      </c>
      <c r="C53" s="10" t="str">
        <v>MINIGULROT 2,5KG / BABY CARROT 2,5KG</v>
      </c>
      <c r="D53" s="8">
        <v>0</v>
      </c>
      <c r="E53" s="12" t="str">
        <v>STK/PCS</v>
      </c>
      <c r="F53" s="12">
        <v>1</v>
      </c>
      <c r="G53" s="155">
        <v>149</v>
      </c>
      <c r="H53" s="32">
        <v>742429</v>
      </c>
    </row>
    <row r="54" spans="1:8" x14ac:dyDescent="0.25">
      <c r="A54" s="17">
        <v>43</v>
      </c>
      <c r="B54" s="5">
        <v>7025110065407</v>
      </c>
      <c r="C54" s="10" t="str">
        <v>ERTER 800G / PEAS 800G</v>
      </c>
      <c r="D54" s="8">
        <v>0</v>
      </c>
      <c r="E54" s="12" t="str">
        <v>STK/PCS</v>
      </c>
      <c r="F54" s="12">
        <v>1</v>
      </c>
      <c r="G54" s="155">
        <v>25.5</v>
      </c>
      <c r="H54" s="32">
        <v>0</v>
      </c>
    </row>
    <row r="55" spans="1:8" x14ac:dyDescent="0.25">
      <c r="A55" s="17">
        <v>44</v>
      </c>
      <c r="B55" s="5">
        <v>7026510119400</v>
      </c>
      <c r="C55" s="10" t="str">
        <v>ERTER 3KG / PEAS 3KG</v>
      </c>
      <c r="D55" s="8">
        <v>0</v>
      </c>
      <c r="E55" s="12" t="str">
        <v>STK/PCS</v>
      </c>
      <c r="F55" s="12">
        <v>1</v>
      </c>
      <c r="G55" s="155">
        <v>149</v>
      </c>
      <c r="H55" s="32">
        <v>968602</v>
      </c>
    </row>
    <row r="56" spans="1:8" x14ac:dyDescent="0.25">
      <c r="A56" s="17">
        <v>45</v>
      </c>
      <c r="B56" s="5">
        <v>5413508028325</v>
      </c>
      <c r="C56" s="10" t="str">
        <v>SPINAT 2,5KG /SPINACH 2,5KG</v>
      </c>
      <c r="D56" s="8">
        <v>0</v>
      </c>
      <c r="E56" s="12" t="str">
        <v>STK/PCS</v>
      </c>
      <c r="F56" s="12">
        <v>1</v>
      </c>
      <c r="G56" s="155">
        <v>79.900000000000006</v>
      </c>
      <c r="H56" s="32">
        <v>18095</v>
      </c>
    </row>
    <row r="57" spans="1:8" x14ac:dyDescent="0.25">
      <c r="A57" s="17">
        <v>46</v>
      </c>
      <c r="B57" s="5">
        <v>7026510186044</v>
      </c>
      <c r="C57" s="10" t="str">
        <v>SOPPBLANDING 250G / MIXED MUSHROOM 250G</v>
      </c>
      <c r="D57" s="8">
        <v>0</v>
      </c>
      <c r="E57" s="12" t="str">
        <v>STK/PCS</v>
      </c>
      <c r="F57" s="12">
        <v>1</v>
      </c>
      <c r="G57" s="155">
        <v>51.9</v>
      </c>
      <c r="H57" s="32">
        <v>1825</v>
      </c>
    </row>
    <row r="58" spans="1:8" x14ac:dyDescent="0.25">
      <c r="A58" s="17">
        <v>47</v>
      </c>
      <c r="B58" s="5">
        <v>7026510177400</v>
      </c>
      <c r="C58" s="10" t="str">
        <v>WOK BLANDING 2,5KG / WOK MIX 2,5KG</v>
      </c>
      <c r="D58" s="8">
        <v>0</v>
      </c>
      <c r="E58" s="12" t="str">
        <v>STK/PCS</v>
      </c>
      <c r="F58" s="12">
        <v>1</v>
      </c>
      <c r="G58" s="155">
        <v>124.9</v>
      </c>
      <c r="H58" s="32">
        <v>0</v>
      </c>
    </row>
    <row r="59" spans="1:8" x14ac:dyDescent="0.25">
      <c r="A59" s="17">
        <v>48</v>
      </c>
      <c r="B59" s="5">
        <v>7026510118403</v>
      </c>
      <c r="C59" s="10" t="str">
        <v>ASPARGESBØNNER 2,5KG / ASPARGUSBEANS 2,5KG</v>
      </c>
      <c r="D59" s="8">
        <v>0</v>
      </c>
      <c r="E59" s="12" t="str">
        <v>STK/PCS</v>
      </c>
      <c r="F59" s="12">
        <v>1</v>
      </c>
      <c r="G59" s="155">
        <v>159</v>
      </c>
      <c r="H59" s="32">
        <v>4527016</v>
      </c>
    </row>
    <row r="60" spans="1:8" x14ac:dyDescent="0.25">
      <c r="A60" s="17">
        <v>49</v>
      </c>
      <c r="B60" s="5">
        <v>8716276000256</v>
      </c>
      <c r="C60" s="10" t="str">
        <v>LØKRINGER 1KG / ONION RINGS 1KG</v>
      </c>
      <c r="D60" s="8">
        <v>0</v>
      </c>
      <c r="E60" s="12" t="str">
        <v>STK/PCS</v>
      </c>
      <c r="F60" s="12">
        <v>1</v>
      </c>
      <c r="G60" s="155">
        <v>48.9</v>
      </c>
      <c r="H60" s="32">
        <v>0</v>
      </c>
    </row>
    <row r="61" spans="1:8" x14ac:dyDescent="0.25">
      <c r="A61" s="17">
        <v>50</v>
      </c>
      <c r="B61" s="5">
        <v>8710449939329</v>
      </c>
      <c r="C61" s="10" t="str">
        <v>POMMES FRITES  2,5KG / POMMES 2,5KG</v>
      </c>
      <c r="D61" s="8">
        <v>0</v>
      </c>
      <c r="E61" s="12" t="str">
        <v>STK/PCS</v>
      </c>
      <c r="F61" s="12">
        <v>1</v>
      </c>
      <c r="G61" s="155">
        <v>49.9</v>
      </c>
      <c r="H61" s="32">
        <v>1899</v>
      </c>
    </row>
    <row r="62" spans="1:8" x14ac:dyDescent="0.25">
      <c r="A62" s="17">
        <v>51</v>
      </c>
      <c r="B62" s="5">
        <v>7025110187383</v>
      </c>
      <c r="C62" s="10" t="str">
        <v>POMMES FAMIILY 1,8KG / POIMMES 1,8KG</v>
      </c>
      <c r="D62" s="8">
        <v>0</v>
      </c>
      <c r="E62" s="12" t="str">
        <v>STK/PCS</v>
      </c>
      <c r="F62" s="12">
        <v>1</v>
      </c>
      <c r="G62" s="155">
        <v>36.9</v>
      </c>
      <c r="H62" s="32">
        <v>0</v>
      </c>
    </row>
    <row r="63" spans="1:8" x14ac:dyDescent="0.25">
      <c r="A63" s="17">
        <v>52</v>
      </c>
      <c r="B63" s="5">
        <v>7340011360377</v>
      </c>
      <c r="C63" s="10" t="str">
        <v>JORBÆR 500G / STRAWBERRIES 500G</v>
      </c>
      <c r="D63" s="8">
        <v>0</v>
      </c>
      <c r="E63" s="12" t="str">
        <v>STK/PCS</v>
      </c>
      <c r="F63" s="12">
        <v>1</v>
      </c>
      <c r="G63" s="155">
        <v>32.9</v>
      </c>
      <c r="H63" s="32">
        <v>17844</v>
      </c>
    </row>
    <row r="64" spans="1:8" x14ac:dyDescent="0.25">
      <c r="A64" s="17">
        <v>53</v>
      </c>
      <c r="B64" s="5">
        <v>7340011465201</v>
      </c>
      <c r="C64" s="10" t="str">
        <v>BRINGEBÆR 400G / RASPBERRIES 400G</v>
      </c>
      <c r="D64" s="8">
        <v>0</v>
      </c>
      <c r="E64" s="12" t="str">
        <v>STK/PCS</v>
      </c>
      <c r="F64" s="12">
        <v>1</v>
      </c>
      <c r="G64" s="155">
        <v>53.9</v>
      </c>
      <c r="H64" s="32">
        <v>17843</v>
      </c>
    </row>
    <row r="65" spans="1:8" x14ac:dyDescent="0.25">
      <c r="A65" s="17">
        <v>54</v>
      </c>
      <c r="B65" s="5">
        <v>7340011465218</v>
      </c>
      <c r="C65" s="10" t="str">
        <v>BJØRNEBÆR 400G / BLACKBERRIES 400G</v>
      </c>
      <c r="D65" s="8">
        <v>0</v>
      </c>
      <c r="E65" s="12" t="str">
        <v>STK/PCS</v>
      </c>
      <c r="F65" s="12">
        <v>1</v>
      </c>
      <c r="G65" s="155">
        <v>39.9</v>
      </c>
      <c r="H65" s="32">
        <v>18103</v>
      </c>
    </row>
    <row r="66" spans="1:8" x14ac:dyDescent="0.25">
      <c r="A66" s="17">
        <v>55</v>
      </c>
      <c r="B66" s="5">
        <v>7340011465195</v>
      </c>
      <c r="C66" s="10" t="str">
        <v>BLÅBÆR 400G / BLUEBERRIES 400G</v>
      </c>
      <c r="D66" s="8">
        <v>0</v>
      </c>
      <c r="E66" s="12" t="str">
        <v>STK/PCS</v>
      </c>
      <c r="F66" s="12">
        <v>1</v>
      </c>
      <c r="G66" s="155">
        <v>34.9</v>
      </c>
      <c r="H66" s="32">
        <v>0</v>
      </c>
    </row>
    <row r="67" spans="1:8" x14ac:dyDescent="0.25">
      <c r="A67" s="17">
        <v>56</v>
      </c>
      <c r="B67" s="5">
        <v>734001429203</v>
      </c>
      <c r="C67" s="10" t="str">
        <v>ANANAS 250G / PINEAPPLE 250G</v>
      </c>
      <c r="D67" s="8">
        <v>0</v>
      </c>
      <c r="E67" s="12" t="str">
        <v>STK/PCS</v>
      </c>
      <c r="F67" s="12">
        <v>1</v>
      </c>
      <c r="G67" s="155">
        <v>22.9</v>
      </c>
      <c r="H67" s="32">
        <v>0</v>
      </c>
    </row>
    <row r="68" spans="1:8" x14ac:dyDescent="0.25">
      <c r="A68" s="17">
        <v>57</v>
      </c>
      <c r="B68" s="5">
        <v>7340011364672</v>
      </c>
      <c r="C68" s="10" t="str">
        <v>MANGO 300G / MANGO 300G</v>
      </c>
      <c r="D68" s="8">
        <v>0</v>
      </c>
      <c r="E68" s="12" t="str">
        <v>STK/PCS</v>
      </c>
      <c r="F68" s="12">
        <v>1</v>
      </c>
      <c r="G68" s="155">
        <v>25.9</v>
      </c>
      <c r="H68" s="32">
        <v>0</v>
      </c>
    </row>
    <row r="69" spans="1:8" x14ac:dyDescent="0.25">
      <c r="A69" s="17">
        <v>58</v>
      </c>
      <c r="B69" s="5">
        <v>7026510016556</v>
      </c>
      <c r="C69" s="10" t="str">
        <v>TROPISK FRUKTBLANDING 2,5KG / TROPIC FRUIT 2,5KG</v>
      </c>
      <c r="D69" s="8">
        <v>0</v>
      </c>
      <c r="E69" s="12" t="str">
        <v>STK/PCS</v>
      </c>
      <c r="F69" s="12">
        <v>1</v>
      </c>
      <c r="G69" s="155">
        <v>239</v>
      </c>
      <c r="H69" s="32">
        <v>919431</v>
      </c>
    </row>
    <row r="70" spans="1:8" x14ac:dyDescent="0.25">
      <c r="A70" s="17">
        <v>59</v>
      </c>
      <c r="B70" s="5">
        <v>7340011465188</v>
      </c>
      <c r="C70" s="10" t="str">
        <v>SKOGSBÆR 400G / FORREST BERRIES 400G</v>
      </c>
      <c r="D70" s="8">
        <v>0</v>
      </c>
      <c r="E70" s="12" t="str">
        <v>STK/PCS</v>
      </c>
      <c r="F70" s="12">
        <v>1</v>
      </c>
      <c r="G70" s="155">
        <v>29.9</v>
      </c>
      <c r="H70" s="32">
        <v>18096</v>
      </c>
    </row>
    <row r="71" spans="1:8" x14ac:dyDescent="0.25">
      <c r="A71" s="17">
        <v>60</v>
      </c>
      <c r="B71" s="5">
        <v>7039611060755</v>
      </c>
      <c r="C71" s="10" t="str">
        <v>EGGEHVITE 5L FRYST / EGG WHITE 5L FROZEN</v>
      </c>
      <c r="D71" s="8">
        <v>0</v>
      </c>
      <c r="E71" s="12" t="str">
        <v>STK/PCS</v>
      </c>
      <c r="F71" s="12">
        <v>1</v>
      </c>
      <c r="G71" s="155">
        <v>899</v>
      </c>
      <c r="H71" s="32">
        <v>1564400</v>
      </c>
    </row>
    <row r="72" spans="1:8" x14ac:dyDescent="0.25">
      <c r="A72" s="17">
        <v>61</v>
      </c>
      <c r="B72" s="5">
        <v>7039611060731</v>
      </c>
      <c r="C72" s="10" t="str">
        <v>EGGEPLOMMER 5L FRYST / EGG YOLKS 5L FROZEN</v>
      </c>
      <c r="D72" s="8">
        <v>0</v>
      </c>
      <c r="E72" s="12" t="str">
        <v>STK/PCS</v>
      </c>
      <c r="F72" s="12">
        <v>1</v>
      </c>
      <c r="G72" s="155">
        <v>1490</v>
      </c>
      <c r="H72" s="32">
        <v>1565423</v>
      </c>
    </row>
    <row r="73" spans="1:8" x14ac:dyDescent="0.25">
      <c r="A73" s="17">
        <v>62</v>
      </c>
      <c r="B73" s="5">
        <v>7039610060992</v>
      </c>
      <c r="C73" s="10" t="str">
        <v>OMELETTBLANDING 2,5KG / OMELETTEMIX 2,5KG</v>
      </c>
      <c r="D73" s="8">
        <v>0</v>
      </c>
      <c r="E73" s="12" t="str">
        <v>STK/PCS</v>
      </c>
      <c r="F73" s="12">
        <v>1</v>
      </c>
      <c r="G73" s="155">
        <v>249</v>
      </c>
      <c r="H73" s="32">
        <v>1761592</v>
      </c>
    </row>
    <row r="74" spans="1:8" x14ac:dyDescent="0.25">
      <c r="A74" s="17">
        <v>63</v>
      </c>
      <c r="B74" s="5">
        <v>7041015400006</v>
      </c>
      <c r="C74" s="10" t="str">
        <v>ISKREM VANILJE  4,6L /VANILLA ICECREAM 4,6L</v>
      </c>
      <c r="D74" s="8">
        <v>0</v>
      </c>
      <c r="E74" s="12" t="str">
        <v>STK/PCS</v>
      </c>
      <c r="F74" s="12">
        <v>1</v>
      </c>
      <c r="G74" s="155">
        <v>249</v>
      </c>
      <c r="H74" s="32">
        <v>4762985</v>
      </c>
    </row>
    <row r="75" spans="1:8" x14ac:dyDescent="0.25">
      <c r="A75" s="17">
        <v>64</v>
      </c>
      <c r="B75" s="5">
        <v>7041015020006</v>
      </c>
      <c r="C75" s="10" t="str">
        <v>ISKREM JORDBÆR 4,6L / STRAWBERRY ICECREAM 4,6L</v>
      </c>
      <c r="D75" s="8">
        <v>0</v>
      </c>
      <c r="E75" s="12" t="str">
        <v>STK/PCS</v>
      </c>
      <c r="F75" s="12">
        <v>1</v>
      </c>
      <c r="G75" s="155">
        <v>249</v>
      </c>
      <c r="H75" s="32">
        <v>2492668</v>
      </c>
    </row>
    <row r="76" spans="1:8" x14ac:dyDescent="0.25">
      <c r="A76" s="17">
        <v>65</v>
      </c>
      <c r="B76" s="5">
        <v>7041015030005</v>
      </c>
      <c r="C76" s="10" t="str">
        <v>ISKREM SJOKOLADE 4,6L / CHOCOLATE ICECREAM 4,6l</v>
      </c>
      <c r="D76" s="8">
        <v>0</v>
      </c>
      <c r="E76" s="12" t="str">
        <v>STK/PCS</v>
      </c>
      <c r="F76" s="12">
        <v>1</v>
      </c>
      <c r="G76" s="155">
        <v>249</v>
      </c>
      <c r="H76" s="32">
        <v>2492676</v>
      </c>
    </row>
    <row r="77" spans="1:8" x14ac:dyDescent="0.25">
      <c r="A77" s="17">
        <v>66</v>
      </c>
      <c r="B77" s="5">
        <v>7041015500003</v>
      </c>
      <c r="C77" s="10" t="str">
        <v>SORBET JORDBÆR  4,6L / STRAWBERRY SORBET 4,6L</v>
      </c>
      <c r="D77" s="8">
        <v>0</v>
      </c>
      <c r="E77" s="12" t="str">
        <v>STK/PCS</v>
      </c>
      <c r="F77" s="12">
        <v>1</v>
      </c>
      <c r="G77" s="155">
        <v>249</v>
      </c>
      <c r="H77" s="32">
        <v>2493120</v>
      </c>
    </row>
    <row r="78" spans="1:8" x14ac:dyDescent="0.25">
      <c r="A78" s="17">
        <v>67</v>
      </c>
      <c r="B78" s="5">
        <v>7041015520001</v>
      </c>
      <c r="C78" s="10" t="str">
        <v>SORBET MANGO  4,6L / MANGO SORBET 4,6L</v>
      </c>
      <c r="D78" s="8">
        <v>0</v>
      </c>
      <c r="E78" s="12" t="str">
        <v>STK/PCS</v>
      </c>
      <c r="F78" s="12">
        <v>1</v>
      </c>
      <c r="G78" s="155">
        <v>249</v>
      </c>
      <c r="H78" s="32">
        <v>2493187</v>
      </c>
    </row>
    <row r="79" spans="1:8" x14ac:dyDescent="0.25">
      <c r="A79" s="17">
        <v>68</v>
      </c>
      <c r="B79" s="5">
        <v>0</v>
      </c>
      <c r="C79" s="10" t="str">
        <v>SORBET SITRON 4,6L / LEMON SORBET 4,6L</v>
      </c>
      <c r="D79" s="8">
        <v>0</v>
      </c>
      <c r="E79" s="12" t="str">
        <v>STK/PCS</v>
      </c>
      <c r="F79" s="12">
        <v>1</v>
      </c>
      <c r="G79" s="155">
        <v>249</v>
      </c>
      <c r="H79" s="32">
        <v>0</v>
      </c>
    </row>
    <row r="80" spans="1:8" x14ac:dyDescent="0.25">
      <c r="A80" s="17">
        <v>69</v>
      </c>
      <c r="B80" s="5">
        <v>3700478572203</v>
      </c>
      <c r="C80" s="10" t="str">
        <v>SJOKOLADEFONDANT 20STK / CHOCOLATE FONDANT 20PCS</v>
      </c>
      <c r="D80" s="8">
        <v>0</v>
      </c>
      <c r="E80" s="12" t="str">
        <v>CRT</v>
      </c>
      <c r="F80" s="12">
        <v>1</v>
      </c>
      <c r="G80" s="155">
        <v>699</v>
      </c>
      <c r="H80" s="32">
        <v>4517348</v>
      </c>
    </row>
    <row r="81" spans="1:8" x14ac:dyDescent="0.25">
      <c r="A81" s="17">
        <v>70</v>
      </c>
      <c r="B81" s="5">
        <v>7020712018967</v>
      </c>
      <c r="C81" s="10" t="str">
        <v>CREME BRULEE 18STK / CREME BRULEE 18 PCS</v>
      </c>
      <c r="D81" s="8">
        <v>0</v>
      </c>
      <c r="E81" s="12" t="str">
        <v>CRT</v>
      </c>
      <c r="F81" s="12">
        <v>1</v>
      </c>
      <c r="G81" s="155">
        <v>999</v>
      </c>
      <c r="H81" s="32">
        <v>5453196</v>
      </c>
    </row>
    <row r="82" spans="1:8" x14ac:dyDescent="0.25">
      <c r="A82" s="17">
        <v>71</v>
      </c>
      <c r="B82" s="5">
        <v>5413476933133</v>
      </c>
      <c r="C82" s="10" t="str">
        <v>BRINGEBÆRMOUSSE HALVKULE 12STK / RASPB. MOUSSE HALFMOON 12PCS</v>
      </c>
      <c r="D82" s="8">
        <v>0</v>
      </c>
      <c r="E82" s="12" t="str">
        <v>CRT</v>
      </c>
      <c r="F82" s="12">
        <v>1</v>
      </c>
      <c r="G82" s="155">
        <v>599</v>
      </c>
      <c r="H82" s="32">
        <v>5294483</v>
      </c>
    </row>
    <row r="83" spans="1:8" x14ac:dyDescent="0.25">
      <c r="A83" s="17">
        <v>72</v>
      </c>
      <c r="B83" s="5">
        <v>5413476940230</v>
      </c>
      <c r="C83" s="10" t="str">
        <v>TIRAMISU MOUSSE BEGER 70G 20STK / TIRAMISU PORTION 20PCS</v>
      </c>
      <c r="D83" s="8">
        <v>0</v>
      </c>
      <c r="E83" s="12" t="str">
        <v>CRT</v>
      </c>
      <c r="F83" s="12">
        <v>1</v>
      </c>
      <c r="G83" s="155">
        <v>599</v>
      </c>
      <c r="H83" s="32">
        <v>5296611</v>
      </c>
    </row>
    <row r="84" spans="1:8" x14ac:dyDescent="0.25">
      <c r="A84" s="17">
        <v>73</v>
      </c>
      <c r="B84" s="5">
        <v>2000139900000</v>
      </c>
      <c r="C84" s="10" t="str">
        <v>MINI CROISANT / MINI CROISANT</v>
      </c>
      <c r="D84" s="8">
        <v>0</v>
      </c>
      <c r="E84" s="12" t="str">
        <v>STK/PCS</v>
      </c>
      <c r="F84" s="12">
        <v>1</v>
      </c>
      <c r="G84" s="155">
        <v>7</v>
      </c>
      <c r="H84" s="32">
        <v>3146172</v>
      </c>
    </row>
    <row r="85" spans="1:8" x14ac:dyDescent="0.25">
      <c r="A85" s="17">
        <v>74</v>
      </c>
      <c r="B85" s="5">
        <v>2000139900000</v>
      </c>
      <c r="C85" s="10" t="str">
        <v>MINI WIENER MIX / MIXED WINER MINI</v>
      </c>
      <c r="D85" s="8">
        <v>0</v>
      </c>
      <c r="E85" s="12" t="str">
        <v>STK/PCS</v>
      </c>
      <c r="F85" s="12">
        <v>1</v>
      </c>
      <c r="G85" s="155">
        <v>7</v>
      </c>
      <c r="H85" s="32">
        <v>0</v>
      </c>
    </row>
    <row r="86" spans="1:8" x14ac:dyDescent="0.25">
      <c r="A86" s="170">
        <v>75</v>
      </c>
      <c r="B86" s="171">
        <v>5701014070649</v>
      </c>
      <c r="C86" s="10" t="str">
        <v>HATTING FINE RUNDSTYKKER 480G / ROLLS WHITE 480G</v>
      </c>
      <c r="D86" s="8">
        <v>0</v>
      </c>
      <c r="E86" s="12" t="str">
        <v>STK/PCS</v>
      </c>
      <c r="F86" s="12">
        <v>10</v>
      </c>
      <c r="G86" s="14">
        <v>39.9</v>
      </c>
      <c r="H86" s="32">
        <v>0</v>
      </c>
    </row>
    <row r="87" spans="1:8" x14ac:dyDescent="0.25">
      <c r="A87" s="170">
        <v>76</v>
      </c>
      <c r="B87" s="171">
        <v>7340191130098</v>
      </c>
      <c r="C87" s="10" t="str">
        <v>BRIOCHE HAMBURGERBRØD 4STK / BRIOCHE HAMBURGER BUNS 4PCS</v>
      </c>
      <c r="D87" s="8">
        <v>0</v>
      </c>
      <c r="E87" s="12" t="str">
        <v>STK/PCS</v>
      </c>
      <c r="F87" s="12">
        <v>10</v>
      </c>
      <c r="G87" s="14">
        <v>28.5</v>
      </c>
      <c r="H87" s="32">
        <v>0</v>
      </c>
    </row>
    <row r="88" spans="1:8" x14ac:dyDescent="0.25">
      <c r="A88" s="170">
        <v>77</v>
      </c>
      <c r="B88" s="171">
        <v>7071848022540</v>
      </c>
      <c r="C88" s="10" t="str">
        <v>BRIOCHEBRØD 500G / BRIOCHE BREAD 500G</v>
      </c>
      <c r="D88" s="8">
        <v>0</v>
      </c>
      <c r="E88" s="12" t="str">
        <v>STK/PCS</v>
      </c>
      <c r="F88" s="12">
        <v>7</v>
      </c>
      <c r="G88" s="14">
        <v>39</v>
      </c>
      <c r="H88" s="32">
        <v>4957148</v>
      </c>
    </row>
    <row r="89" spans="1:8" x14ac:dyDescent="0.25">
      <c r="A89" s="170">
        <v>78</v>
      </c>
      <c r="B89" s="171">
        <v>7025165010827</v>
      </c>
      <c r="C89" s="10" t="str">
        <v>TOAST LOFF 750G / TOAST WHITE 750G</v>
      </c>
      <c r="D89" s="8">
        <v>0</v>
      </c>
      <c r="E89" s="12" t="str">
        <v>STK/PCS</v>
      </c>
      <c r="F89" s="12">
        <v>1</v>
      </c>
      <c r="G89" s="14">
        <v>45.9</v>
      </c>
      <c r="H89" s="32">
        <v>0</v>
      </c>
    </row>
    <row r="90" spans="1:8" x14ac:dyDescent="0.25">
      <c r="A90" s="170">
        <v>79</v>
      </c>
      <c r="B90" s="171">
        <v>7025165010834</v>
      </c>
      <c r="C90" s="10" t="str">
        <v>TOAST BRØD 750G / TOAST BROWN 750G</v>
      </c>
      <c r="D90" s="8">
        <v>0</v>
      </c>
      <c r="E90" s="12" t="str">
        <v>STK/PCS</v>
      </c>
      <c r="F90" s="12">
        <v>1</v>
      </c>
      <c r="G90" s="14">
        <v>36.9</v>
      </c>
      <c r="H90" s="32">
        <v>0</v>
      </c>
    </row>
    <row r="91" spans="1:8" x14ac:dyDescent="0.25">
      <c r="A91" s="170">
        <v>80</v>
      </c>
      <c r="B91" s="177">
        <v>0</v>
      </c>
      <c r="C91" s="10" t="str">
        <v>LEDIG</v>
      </c>
      <c r="D91" s="8">
        <v>0</v>
      </c>
      <c r="E91" s="10">
        <v>0</v>
      </c>
      <c r="F91" s="10">
        <v>0</v>
      </c>
      <c r="G91" s="10">
        <v>0</v>
      </c>
      <c r="H91" s="32">
        <v>0</v>
      </c>
    </row>
    <row r="92" spans="1:8" x14ac:dyDescent="0.25">
      <c r="A92" s="170">
        <v>81</v>
      </c>
      <c r="B92" s="177">
        <v>0</v>
      </c>
      <c r="C92" s="10" t="str">
        <v>LEDIG</v>
      </c>
      <c r="D92" s="8">
        <v>0</v>
      </c>
      <c r="E92" s="10">
        <v>0</v>
      </c>
      <c r="F92" s="10">
        <v>0</v>
      </c>
      <c r="G92" s="10">
        <v>0</v>
      </c>
      <c r="H92" s="32">
        <v>0</v>
      </c>
    </row>
    <row r="93" spans="1:8" x14ac:dyDescent="0.25">
      <c r="A93" s="170">
        <v>82</v>
      </c>
      <c r="B93" s="177">
        <v>0</v>
      </c>
      <c r="C93" s="10" t="str">
        <v>LEDIG</v>
      </c>
      <c r="D93" s="8">
        <v>0</v>
      </c>
      <c r="E93" s="10">
        <v>0</v>
      </c>
      <c r="F93" s="10">
        <v>0</v>
      </c>
      <c r="G93" s="10">
        <v>0</v>
      </c>
      <c r="H93" s="32">
        <v>0</v>
      </c>
    </row>
    <row r="94" spans="1:8" x14ac:dyDescent="0.25">
      <c r="A94" s="170">
        <v>83</v>
      </c>
      <c r="B94" s="177">
        <v>0</v>
      </c>
      <c r="C94" s="10" t="str">
        <v>LEDIG</v>
      </c>
      <c r="D94" s="8">
        <v>0</v>
      </c>
      <c r="E94" s="10">
        <v>0</v>
      </c>
      <c r="F94" s="10">
        <v>0</v>
      </c>
      <c r="G94" s="10">
        <v>0</v>
      </c>
      <c r="H94" s="32">
        <v>0</v>
      </c>
    </row>
    <row r="95" spans="1:8" x14ac:dyDescent="0.25">
      <c r="A95" s="170">
        <v>84</v>
      </c>
      <c r="B95" s="177">
        <v>0</v>
      </c>
      <c r="C95" s="10" t="str">
        <v>LEDIG</v>
      </c>
      <c r="D95" s="8">
        <v>0</v>
      </c>
      <c r="E95" s="10">
        <v>0</v>
      </c>
      <c r="F95" s="10">
        <v>0</v>
      </c>
      <c r="G95" s="10">
        <v>0</v>
      </c>
      <c r="H95" s="32">
        <v>0</v>
      </c>
    </row>
    <row r="96" spans="1:8" x14ac:dyDescent="0.25">
      <c r="H96" s="151"/>
    </row>
    <row r="97" spans="8:8" x14ac:dyDescent="0.25">
      <c r="H97" s="151"/>
    </row>
    <row r="98" spans="8:8" x14ac:dyDescent="0.25">
      <c r="H98" s="151"/>
    </row>
    <row r="99" spans="8:8" x14ac:dyDescent="0.25">
      <c r="H99" s="151"/>
    </row>
    <row r="100" spans="8:8" x14ac:dyDescent="0.25">
      <c r="H100" s="151"/>
    </row>
    <row r="101" spans="8:8" x14ac:dyDescent="0.25">
      <c r="H101" s="151"/>
    </row>
    <row r="102" spans="8:8" x14ac:dyDescent="0.25">
      <c r="H102" s="151"/>
    </row>
    <row r="103" spans="8:8" x14ac:dyDescent="0.25">
      <c r="H103" s="151"/>
    </row>
    <row r="104" spans="8:8" x14ac:dyDescent="0.25">
      <c r="H104" s="151"/>
    </row>
    <row r="105" spans="8:8" x14ac:dyDescent="0.25">
      <c r="H105" s="151"/>
    </row>
    <row r="106" spans="8:8" x14ac:dyDescent="0.25">
      <c r="H106" s="151"/>
    </row>
    <row r="107" spans="8:8" x14ac:dyDescent="0.25">
      <c r="H107" s="151"/>
    </row>
    <row r="108" spans="8:8" x14ac:dyDescent="0.25">
      <c r="H108" s="151"/>
    </row>
    <row r="109" spans="8:8" x14ac:dyDescent="0.25">
      <c r="H109" s="151"/>
    </row>
    <row r="110" spans="8:8" x14ac:dyDescent="0.25">
      <c r="H110" s="151"/>
    </row>
  </sheetData>
  <autoFilter ref="A11:H11" xr:uid="{7DDA4F21-EDC5-4BAA-895D-C865B7E7EE8E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74" fitToHeight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C747-BDB9-442D-86E5-8BF88883049C}">
  <sheetPr codeName="Ark7">
    <pageSetUpPr fitToPage="1"/>
  </sheetPr>
  <dimension ref="A1:J118"/>
  <sheetViews>
    <sheetView showZeros="0" zoomScale="60" zoomScaleNormal="60" workbookViewId="0">
      <selection activeCell="D12" sqref="D12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64.4257812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6"/>
      <c r="C2" s="7"/>
      <c r="D2" s="48"/>
      <c r="E2" s="66"/>
      <c r="F2" s="67"/>
      <c r="G2" s="7"/>
      <c r="H2" s="46"/>
      <c r="I2" s="6"/>
    </row>
    <row r="3" spans="1:10" ht="19.5" thickBot="1" x14ac:dyDescent="0.35">
      <c r="A3" s="6"/>
      <c r="B3" s="63"/>
      <c r="C3" s="7"/>
      <c r="D3" s="44"/>
      <c r="E3" s="64"/>
      <c r="F3" s="65"/>
      <c r="G3" s="7"/>
      <c r="H3" s="63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6"/>
      <c r="C5" s="7"/>
      <c r="D5" s="46"/>
      <c r="E5" s="7"/>
      <c r="F5" s="7"/>
      <c r="G5" s="7"/>
      <c r="H5" s="46"/>
      <c r="I5" s="6"/>
    </row>
    <row r="6" spans="1:10" ht="19.5" thickBot="1" x14ac:dyDescent="0.35">
      <c r="A6" s="6"/>
      <c r="B6" s="63"/>
      <c r="C6" s="7"/>
      <c r="D6" s="63"/>
      <c r="E6" s="7"/>
      <c r="F6" s="7"/>
      <c r="G6" s="7"/>
      <c r="H6" s="63"/>
      <c r="I6" s="6"/>
    </row>
    <row r="10" spans="1:10" ht="23.25" x14ac:dyDescent="0.35">
      <c r="A10" s="216" t="s">
        <v>283</v>
      </c>
      <c r="B10" s="216"/>
      <c r="C10" s="216"/>
      <c r="D10" s="216"/>
      <c r="E10" s="216"/>
      <c r="F10" s="216"/>
      <c r="G10" s="216"/>
      <c r="H10" s="16"/>
      <c r="I10" s="16"/>
      <c r="J10" s="16"/>
    </row>
    <row r="11" spans="1:10" ht="30" x14ac:dyDescent="0.25">
      <c r="A11" s="1" t="s">
        <v>6</v>
      </c>
      <c r="B11" s="1" t="s">
        <v>7</v>
      </c>
      <c r="C11" s="2" t="s">
        <v>8</v>
      </c>
      <c r="D11" s="2" t="s">
        <v>9</v>
      </c>
      <c r="E11" s="2" t="s">
        <v>10</v>
      </c>
      <c r="F11" s="3" t="s">
        <v>11</v>
      </c>
      <c r="G11" s="4" t="s">
        <v>12</v>
      </c>
      <c r="H11" s="153" t="s">
        <v>421</v>
      </c>
    </row>
    <row r="12" spans="1:10" x14ac:dyDescent="0.25">
      <c r="A12" s="18" cm="1">
        <f t="array" ref="A12:G76">Tabell6[[NUMMER]:[NOK]]</f>
        <v>1</v>
      </c>
      <c r="B12" s="19">
        <v>7044410110310</v>
      </c>
      <c r="C12" s="11" t="str">
        <v>HVETEMEL 2KG / WHEATFLOUR 2KG</v>
      </c>
      <c r="D12" s="9">
        <v>0</v>
      </c>
      <c r="E12" s="13" t="str">
        <v>STK/PCS</v>
      </c>
      <c r="F12" s="13">
        <v>4</v>
      </c>
      <c r="G12" s="154">
        <v>30.9</v>
      </c>
      <c r="H12" s="32" cm="1">
        <f t="array" ref="H12:H76">Tabell6[V.NR KRAEMER]</f>
        <v>544346</v>
      </c>
    </row>
    <row r="13" spans="1:10" x14ac:dyDescent="0.25">
      <c r="A13" s="17">
        <v>2</v>
      </c>
      <c r="B13" s="5">
        <v>7020655001255</v>
      </c>
      <c r="C13" s="10" t="str">
        <v>HVETEMEL 25KG / WHEAT FLOUR 25KG</v>
      </c>
      <c r="D13" s="8">
        <v>0</v>
      </c>
      <c r="E13" s="12" t="str">
        <v>STK/PCS</v>
      </c>
      <c r="F13" s="12">
        <v>1</v>
      </c>
      <c r="G13" s="155">
        <v>379</v>
      </c>
      <c r="H13" s="32">
        <v>2812105</v>
      </c>
    </row>
    <row r="14" spans="1:10" x14ac:dyDescent="0.25">
      <c r="A14" s="17">
        <v>3</v>
      </c>
      <c r="B14" s="5">
        <v>6420002061016</v>
      </c>
      <c r="C14" s="10" t="str">
        <v>MAIZENA 2,5KG / MAIZENA STARCH 2,5KG</v>
      </c>
      <c r="D14" s="8">
        <v>0</v>
      </c>
      <c r="E14" s="12" t="str">
        <v>STK/PCS</v>
      </c>
      <c r="F14" s="12">
        <v>4</v>
      </c>
      <c r="G14" s="155">
        <v>250</v>
      </c>
      <c r="H14" s="32">
        <v>488171</v>
      </c>
    </row>
    <row r="15" spans="1:10" x14ac:dyDescent="0.25">
      <c r="A15" s="17">
        <v>4</v>
      </c>
      <c r="B15" s="5">
        <v>25701259103304</v>
      </c>
      <c r="C15" s="10" t="str">
        <v>SUKKER 25KG / SUGAR 25KG</v>
      </c>
      <c r="D15" s="8">
        <v>0</v>
      </c>
      <c r="E15" s="12" t="str">
        <v>STK/PCS</v>
      </c>
      <c r="F15" s="12">
        <v>1</v>
      </c>
      <c r="G15" s="155">
        <v>599</v>
      </c>
      <c r="H15" s="32">
        <v>10903</v>
      </c>
    </row>
    <row r="16" spans="1:10" x14ac:dyDescent="0.25">
      <c r="A16" s="17">
        <v>5</v>
      </c>
      <c r="B16" s="5">
        <v>6414000020021</v>
      </c>
      <c r="C16" s="10" t="str">
        <v>SUKKER 1KG / SUGAR 1KG</v>
      </c>
      <c r="D16" s="8">
        <v>0</v>
      </c>
      <c r="E16" s="12" t="str">
        <v>STK/PCS</v>
      </c>
      <c r="F16" s="12">
        <v>10</v>
      </c>
      <c r="G16" s="155">
        <v>32.200000000000003</v>
      </c>
      <c r="H16" s="32">
        <v>10227</v>
      </c>
    </row>
    <row r="17" spans="1:8" x14ac:dyDescent="0.25">
      <c r="A17" s="17">
        <v>6</v>
      </c>
      <c r="B17" s="5">
        <v>400872655106</v>
      </c>
      <c r="C17" s="10" t="str">
        <v>GELATINPLATER 1KG / GELATIN 1KG</v>
      </c>
      <c r="D17" s="8">
        <v>0</v>
      </c>
      <c r="E17" s="12" t="str">
        <v>STK/PCS</v>
      </c>
      <c r="F17" s="12">
        <v>1</v>
      </c>
      <c r="G17" s="155">
        <v>649</v>
      </c>
      <c r="H17" s="32">
        <v>2250157</v>
      </c>
    </row>
    <row r="18" spans="1:8" x14ac:dyDescent="0.25">
      <c r="A18" s="17">
        <v>7</v>
      </c>
      <c r="B18" s="5">
        <v>7622210115812</v>
      </c>
      <c r="C18" s="10" t="str">
        <v>BAKEPULVER 1KG / BAKING SODA 1KG</v>
      </c>
      <c r="D18" s="8">
        <v>0</v>
      </c>
      <c r="E18" s="12" t="str">
        <v>STK/PCS</v>
      </c>
      <c r="F18" s="12">
        <v>3</v>
      </c>
      <c r="G18" s="155">
        <v>139</v>
      </c>
      <c r="H18" s="32">
        <v>2774024</v>
      </c>
    </row>
    <row r="19" spans="1:8" x14ac:dyDescent="0.25">
      <c r="A19" s="17">
        <v>8</v>
      </c>
      <c r="B19" s="5">
        <v>7340011350811</v>
      </c>
      <c r="C19" s="10" t="str">
        <v>RAPSOLJE 1L / RAPS OIL 1L</v>
      </c>
      <c r="D19" s="8">
        <v>0</v>
      </c>
      <c r="E19" s="12" t="str">
        <v>STK/PCS</v>
      </c>
      <c r="F19" s="12">
        <v>1</v>
      </c>
      <c r="G19" s="155">
        <v>33.9</v>
      </c>
      <c r="H19" s="32">
        <v>2636926</v>
      </c>
    </row>
    <row r="20" spans="1:8" x14ac:dyDescent="0.25">
      <c r="A20" s="17">
        <v>9</v>
      </c>
      <c r="B20" s="5">
        <v>7340011342618</v>
      </c>
      <c r="C20" s="10" t="str">
        <v>OLIVENOLJE 1L / OLIVE OIL 1L</v>
      </c>
      <c r="D20" s="8">
        <v>0</v>
      </c>
      <c r="E20" s="12" t="str">
        <v>STK/PCS</v>
      </c>
      <c r="F20" s="12">
        <v>1</v>
      </c>
      <c r="G20" s="155">
        <v>55.9</v>
      </c>
      <c r="H20" s="32">
        <v>371922</v>
      </c>
    </row>
    <row r="21" spans="1:8" x14ac:dyDescent="0.25">
      <c r="A21" s="17">
        <v>10</v>
      </c>
      <c r="B21" s="5">
        <v>7036110100159</v>
      </c>
      <c r="C21" s="10" t="str">
        <v>SOYAOLJE 10L / SOY OIL 10L</v>
      </c>
      <c r="D21" s="8">
        <v>0</v>
      </c>
      <c r="E21" s="12" t="str">
        <v>STK/PCS</v>
      </c>
      <c r="F21" s="12">
        <v>1</v>
      </c>
      <c r="G21" s="155">
        <v>549</v>
      </c>
      <c r="H21" s="32">
        <v>681528</v>
      </c>
    </row>
    <row r="22" spans="1:8" x14ac:dyDescent="0.25">
      <c r="A22" s="17">
        <v>11</v>
      </c>
      <c r="B22" s="5">
        <v>8710605021257</v>
      </c>
      <c r="C22" s="10" t="str">
        <v>OYSTER SAUCE 1L / OYSTER SAUCE 1L</v>
      </c>
      <c r="D22" s="8">
        <v>0</v>
      </c>
      <c r="E22" s="12" t="str">
        <v>STK/PCS</v>
      </c>
      <c r="F22" s="12">
        <v>6</v>
      </c>
      <c r="G22" s="155">
        <v>149</v>
      </c>
      <c r="H22" s="32">
        <v>2652857</v>
      </c>
    </row>
    <row r="23" spans="1:8" x14ac:dyDescent="0.25">
      <c r="A23" s="17">
        <v>12</v>
      </c>
      <c r="B23" s="5">
        <v>7311312006448</v>
      </c>
      <c r="C23" s="10" t="str">
        <v>BBQ SAUCE BOURBON OG WHISKEY 1125ML / BBQ SAUCE BOURBON 1125ML</v>
      </c>
      <c r="D23" s="8">
        <v>0</v>
      </c>
      <c r="E23" s="12" t="str">
        <v>STK/PCS</v>
      </c>
      <c r="F23" s="12">
        <v>6</v>
      </c>
      <c r="G23" s="155">
        <v>149</v>
      </c>
      <c r="H23" s="32">
        <v>5443957</v>
      </c>
    </row>
    <row r="24" spans="1:8" x14ac:dyDescent="0.25">
      <c r="A24" s="17">
        <v>13</v>
      </c>
      <c r="B24" s="5">
        <v>7340191124004</v>
      </c>
      <c r="C24" s="10" t="str">
        <v xml:space="preserve">GROVHAKKEDE TOMATER 390G / CRUSHED TOMATO </v>
      </c>
      <c r="D24" s="8">
        <v>0</v>
      </c>
      <c r="E24" s="12" t="str">
        <v>STK/PCS</v>
      </c>
      <c r="F24" s="12">
        <v>12</v>
      </c>
      <c r="G24" s="155">
        <v>12.9</v>
      </c>
      <c r="H24" s="32">
        <v>3052438</v>
      </c>
    </row>
    <row r="25" spans="1:8" x14ac:dyDescent="0.25">
      <c r="A25" s="17">
        <v>14</v>
      </c>
      <c r="B25" s="5">
        <v>480031</v>
      </c>
      <c r="C25" s="10" t="str">
        <v>HAKKEDE TOMATER STRIANESE 2,5KG / CRUSHED TOMATO 2,5KG</v>
      </c>
      <c r="D25" s="8">
        <v>0</v>
      </c>
      <c r="E25" s="12" t="str">
        <v>STK/PCS</v>
      </c>
      <c r="F25" s="12">
        <v>6</v>
      </c>
      <c r="G25" s="155">
        <v>79.900000000000006</v>
      </c>
      <c r="H25" s="32">
        <v>547851</v>
      </c>
    </row>
    <row r="26" spans="1:8" x14ac:dyDescent="0.25">
      <c r="A26" s="17">
        <v>15</v>
      </c>
      <c r="B26" s="5">
        <v>7035620040740</v>
      </c>
      <c r="C26" s="10" t="str">
        <v>TOMATPURE 850ML / TOMATO PUREE 850ML</v>
      </c>
      <c r="D26" s="8">
        <v>0</v>
      </c>
      <c r="E26" s="12" t="str">
        <v>STK/PCS</v>
      </c>
      <c r="F26" s="12">
        <v>12</v>
      </c>
      <c r="G26" s="155">
        <v>29.9</v>
      </c>
      <c r="H26" s="32">
        <v>4070140</v>
      </c>
    </row>
    <row r="27" spans="1:8" x14ac:dyDescent="0.25">
      <c r="A27" s="17">
        <v>16</v>
      </c>
      <c r="B27" s="5">
        <v>6942853221253</v>
      </c>
      <c r="C27" s="10" t="str">
        <v>MAISKORN 2,125KG / MAIS CORN 2,125KG</v>
      </c>
      <c r="D27" s="8">
        <v>0</v>
      </c>
      <c r="E27" s="12" t="str">
        <v>STK/PCS</v>
      </c>
      <c r="F27" s="12">
        <v>6</v>
      </c>
      <c r="G27" s="155">
        <v>79.900000000000006</v>
      </c>
      <c r="H27" s="32">
        <v>3220019</v>
      </c>
    </row>
    <row r="28" spans="1:8" x14ac:dyDescent="0.25">
      <c r="A28" s="17">
        <v>17</v>
      </c>
      <c r="B28" s="5">
        <v>7035620004568</v>
      </c>
      <c r="C28" s="10" t="str">
        <v>KIKERTER 2,6KG / CHICKPEAS 2,6KG</v>
      </c>
      <c r="D28" s="8">
        <v>0</v>
      </c>
      <c r="E28" s="12" t="str">
        <v>STK/PCS</v>
      </c>
      <c r="F28" s="12">
        <v>6</v>
      </c>
      <c r="G28" s="155">
        <v>62.9</v>
      </c>
      <c r="H28" s="32">
        <v>3082716</v>
      </c>
    </row>
    <row r="29" spans="1:8" x14ac:dyDescent="0.25">
      <c r="A29" s="17">
        <v>18</v>
      </c>
      <c r="B29" s="5">
        <v>7340191108837</v>
      </c>
      <c r="C29" s="10" t="str">
        <v>KIDNEYBØNNER 380G / KIDNEYBEANS 380G</v>
      </c>
      <c r="D29" s="8">
        <v>0</v>
      </c>
      <c r="E29" s="12" t="str">
        <v>STK/PCS</v>
      </c>
      <c r="F29" s="12">
        <v>12</v>
      </c>
      <c r="G29" s="155">
        <v>13.9</v>
      </c>
      <c r="H29" s="32">
        <v>11074</v>
      </c>
    </row>
    <row r="30" spans="1:8" x14ac:dyDescent="0.25">
      <c r="A30" s="17">
        <v>19</v>
      </c>
      <c r="B30" s="5">
        <v>6410708434740</v>
      </c>
      <c r="C30" s="10" t="str">
        <v>KIDNEYBØNNER 2,65KG / KIDNEY BEANS 2,65KG</v>
      </c>
      <c r="D30" s="8">
        <v>0</v>
      </c>
      <c r="E30" s="12" t="str">
        <v>STK/PCS</v>
      </c>
      <c r="F30" s="12">
        <v>6</v>
      </c>
      <c r="G30" s="155">
        <v>59.9</v>
      </c>
      <c r="H30" s="32">
        <v>12203963</v>
      </c>
    </row>
    <row r="31" spans="1:8" x14ac:dyDescent="0.25">
      <c r="A31" s="17">
        <v>20</v>
      </c>
      <c r="B31" s="5">
        <v>7035620004681</v>
      </c>
      <c r="C31" s="10" t="str">
        <v>BØNNER HVITE 2,6KG / WHITE BEANS 2,6KG</v>
      </c>
      <c r="D31" s="8">
        <v>0</v>
      </c>
      <c r="E31" s="12" t="str">
        <v>STK/PCS</v>
      </c>
      <c r="F31" s="12">
        <v>6</v>
      </c>
      <c r="G31" s="155">
        <v>59.9</v>
      </c>
      <c r="H31" s="32">
        <v>3082542</v>
      </c>
    </row>
    <row r="32" spans="1:8" x14ac:dyDescent="0.25">
      <c r="A32" s="17">
        <v>21</v>
      </c>
      <c r="B32" s="5">
        <v>11194392222</v>
      </c>
      <c r="C32" s="10" t="str">
        <v>GARBANZO BØNNER 3KG / GARBANZO BEANS 3KG</v>
      </c>
      <c r="D32" s="8">
        <v>0</v>
      </c>
      <c r="E32" s="12" t="str">
        <v>STK/PCS</v>
      </c>
      <c r="F32" s="12">
        <v>6</v>
      </c>
      <c r="G32" s="155">
        <v>189</v>
      </c>
      <c r="H32" s="32">
        <v>710160</v>
      </c>
    </row>
    <row r="33" spans="1:8" x14ac:dyDescent="0.25">
      <c r="A33" s="17">
        <v>22</v>
      </c>
      <c r="B33" s="5">
        <v>7036340058169</v>
      </c>
      <c r="C33" s="10" t="str">
        <v>SORTE BØNNER 2KG / BLACK BEANS 2KG</v>
      </c>
      <c r="D33" s="8">
        <v>0</v>
      </c>
      <c r="E33" s="12" t="str">
        <v>STK/PCS</v>
      </c>
      <c r="F33" s="12">
        <v>6</v>
      </c>
      <c r="G33" s="155">
        <v>169</v>
      </c>
      <c r="H33" s="32">
        <v>5971809</v>
      </c>
    </row>
    <row r="34" spans="1:8" x14ac:dyDescent="0.25">
      <c r="A34" s="17">
        <v>23</v>
      </c>
      <c r="B34" s="5">
        <v>8024046004510</v>
      </c>
      <c r="C34" s="10" t="str">
        <v>CANNELINI BØNNER 2,65KG / CANNELINI BEANS 2,6KG</v>
      </c>
      <c r="D34" s="8">
        <v>0</v>
      </c>
      <c r="E34" s="12" t="str">
        <v>STK/PCS</v>
      </c>
      <c r="F34" s="12">
        <v>6</v>
      </c>
      <c r="G34" s="155">
        <v>149</v>
      </c>
      <c r="H34" s="32">
        <v>1901651</v>
      </c>
    </row>
    <row r="35" spans="1:8" x14ac:dyDescent="0.25">
      <c r="A35" s="17">
        <v>24</v>
      </c>
      <c r="B35" s="5">
        <v>7035620043819</v>
      </c>
      <c r="C35" s="10" t="str">
        <v>TUNFISK I VANN 3KG POSE / TUNA IN WATER 3KG</v>
      </c>
      <c r="D35" s="8">
        <v>0</v>
      </c>
      <c r="E35" s="12" t="str">
        <v>STK/PCS</v>
      </c>
      <c r="F35" s="12">
        <v>4</v>
      </c>
      <c r="G35" s="155">
        <v>299</v>
      </c>
      <c r="H35" s="32">
        <v>3179066</v>
      </c>
    </row>
    <row r="36" spans="1:8" x14ac:dyDescent="0.25">
      <c r="A36" s="17">
        <v>25</v>
      </c>
      <c r="B36" s="5">
        <v>7035620042843</v>
      </c>
      <c r="C36" s="10" t="str">
        <v>TUNFISK I OLJE 3KG POSE / TUNA IN OIL 3KG</v>
      </c>
      <c r="D36" s="8">
        <v>0</v>
      </c>
      <c r="E36" s="12" t="str">
        <v>STK/PCS</v>
      </c>
      <c r="F36" s="12">
        <v>4</v>
      </c>
      <c r="G36" s="155">
        <v>299</v>
      </c>
      <c r="H36" s="32">
        <v>3178860</v>
      </c>
    </row>
    <row r="37" spans="1:8" x14ac:dyDescent="0.25">
      <c r="A37" s="17">
        <v>26</v>
      </c>
      <c r="B37" s="5">
        <v>8410159044107</v>
      </c>
      <c r="C37" s="10" t="str">
        <v>SORTE OLIVEN 900G / BLACK OLIVES 900G</v>
      </c>
      <c r="D37" s="8">
        <v>0</v>
      </c>
      <c r="E37" s="12" t="str">
        <v>STK/PCS</v>
      </c>
      <c r="F37" s="12">
        <v>6</v>
      </c>
      <c r="G37" s="155">
        <v>49.9</v>
      </c>
      <c r="H37" s="32">
        <v>712232</v>
      </c>
    </row>
    <row r="38" spans="1:8" x14ac:dyDescent="0.25">
      <c r="A38" s="17">
        <v>27</v>
      </c>
      <c r="B38" s="5">
        <v>4002442803948</v>
      </c>
      <c r="C38" s="10" t="str">
        <v>GRØNNE OLIVEN 900G / GREEN OLIVES 900G</v>
      </c>
      <c r="D38" s="8">
        <v>0</v>
      </c>
      <c r="E38" s="12" t="str">
        <v>STK/PCS</v>
      </c>
      <c r="F38" s="12">
        <v>6</v>
      </c>
      <c r="G38" s="155">
        <v>49.9</v>
      </c>
      <c r="H38" s="32">
        <v>4769139</v>
      </c>
    </row>
    <row r="39" spans="1:8" x14ac:dyDescent="0.25">
      <c r="A39" s="17">
        <v>28</v>
      </c>
      <c r="B39" s="5">
        <v>7311040072005</v>
      </c>
      <c r="C39" s="10" t="str">
        <v>MANDARINER 850G / MANDARINS 850G</v>
      </c>
      <c r="D39" s="8">
        <v>0</v>
      </c>
      <c r="E39" s="12" t="str">
        <v>STK/PCS</v>
      </c>
      <c r="F39" s="12">
        <v>12</v>
      </c>
      <c r="G39" s="155">
        <v>34.9</v>
      </c>
      <c r="H39" s="32">
        <v>529651</v>
      </c>
    </row>
    <row r="40" spans="1:8" x14ac:dyDescent="0.25">
      <c r="A40" s="17">
        <v>29</v>
      </c>
      <c r="B40" s="5">
        <v>7025110061577</v>
      </c>
      <c r="C40" s="10" t="str">
        <v>JASMIN RIS 2KG / JASMINE RICE 2KG</v>
      </c>
      <c r="D40" s="8">
        <v>0</v>
      </c>
      <c r="E40" s="12" t="str">
        <v>STK/PCS</v>
      </c>
      <c r="F40" s="12">
        <v>1</v>
      </c>
      <c r="G40" s="155">
        <v>46.9</v>
      </c>
      <c r="H40" s="32">
        <v>714188</v>
      </c>
    </row>
    <row r="41" spans="1:8" x14ac:dyDescent="0.25">
      <c r="A41" s="17">
        <v>30</v>
      </c>
      <c r="B41" s="5">
        <v>7340011341444</v>
      </c>
      <c r="C41" s="10" t="str">
        <v>JAMSIN RIS 5 KG / JASMINE RICE 5KG</v>
      </c>
      <c r="D41" s="8">
        <v>0</v>
      </c>
      <c r="E41" s="12" t="str">
        <v>STK/PCS</v>
      </c>
      <c r="F41" s="12">
        <v>1</v>
      </c>
      <c r="G41" s="155">
        <v>80.900000000000006</v>
      </c>
      <c r="H41" s="32">
        <v>575662</v>
      </c>
    </row>
    <row r="42" spans="1:8" x14ac:dyDescent="0.25">
      <c r="A42" s="17">
        <v>31</v>
      </c>
      <c r="B42" s="5">
        <v>7340011437192</v>
      </c>
      <c r="C42" s="10" t="str">
        <v>BASMATI RIS 2KG / BASMATI RICE 2 KG</v>
      </c>
      <c r="D42" s="8">
        <v>0</v>
      </c>
      <c r="E42" s="12" t="str">
        <v>STK/PCS</v>
      </c>
      <c r="F42" s="12">
        <v>1</v>
      </c>
      <c r="G42" s="155">
        <v>89.9</v>
      </c>
      <c r="H42" s="32">
        <v>308266</v>
      </c>
    </row>
    <row r="43" spans="1:8" x14ac:dyDescent="0.25">
      <c r="A43" s="17">
        <v>32</v>
      </c>
      <c r="B43" s="5">
        <v>8001420001327</v>
      </c>
      <c r="C43" s="10" t="str">
        <v>RISOTTORIS 500G / RISOTTO RICE 500G</v>
      </c>
      <c r="D43" s="8">
        <v>0</v>
      </c>
      <c r="E43" s="12" t="str">
        <v>STK/PCS</v>
      </c>
      <c r="F43" s="12">
        <v>12</v>
      </c>
      <c r="G43" s="155">
        <v>42.9</v>
      </c>
      <c r="H43" s="32">
        <v>5802301</v>
      </c>
    </row>
    <row r="44" spans="1:8" x14ac:dyDescent="0.25">
      <c r="A44" s="17">
        <v>33</v>
      </c>
      <c r="B44" s="5">
        <v>7035620019395</v>
      </c>
      <c r="C44" s="10" t="str">
        <v>PENNE TRICOLORE 5KG / PENNE TRICOLORE 5KG</v>
      </c>
      <c r="D44" s="8">
        <v>0</v>
      </c>
      <c r="E44" s="12" t="str">
        <v>STK/PCS</v>
      </c>
      <c r="F44" s="12">
        <v>3</v>
      </c>
      <c r="G44" s="155">
        <v>169</v>
      </c>
      <c r="H44" s="32">
        <v>3097847</v>
      </c>
    </row>
    <row r="45" spans="1:8" x14ac:dyDescent="0.25">
      <c r="A45" s="17">
        <v>34</v>
      </c>
      <c r="B45" s="5">
        <v>7037619171497</v>
      </c>
      <c r="C45" s="10" t="str">
        <v>FARFALLE TRICOLORE 3KG / FARFALLE TRICOLORE 3KG</v>
      </c>
      <c r="D45" s="8">
        <v>0</v>
      </c>
      <c r="E45" s="12" t="str">
        <v>STK/PCS</v>
      </c>
      <c r="F45" s="12">
        <v>1</v>
      </c>
      <c r="G45" s="155">
        <v>179</v>
      </c>
      <c r="H45" s="32">
        <v>1959477</v>
      </c>
    </row>
    <row r="46" spans="1:8" x14ac:dyDescent="0.25">
      <c r="A46" s="17">
        <v>35</v>
      </c>
      <c r="B46" s="5">
        <v>8076809001014</v>
      </c>
      <c r="C46" s="10" t="str">
        <v>TAGLIATELLE 6KG / TAGLIATELLE 6KG</v>
      </c>
      <c r="D46" s="8">
        <v>0</v>
      </c>
      <c r="E46" s="12" t="str">
        <v>STK/PCS</v>
      </c>
      <c r="F46" s="12">
        <v>1</v>
      </c>
      <c r="G46" s="155">
        <v>399</v>
      </c>
      <c r="H46" s="32">
        <v>474593</v>
      </c>
    </row>
    <row r="47" spans="1:8" x14ac:dyDescent="0.25">
      <c r="A47" s="17">
        <v>36</v>
      </c>
      <c r="B47" s="5">
        <v>7025165017413</v>
      </c>
      <c r="C47" s="10" t="str">
        <v>HALVSTEKTE BRØD / HALF BAKED BROWN BREAD</v>
      </c>
      <c r="D47" s="8">
        <v>0</v>
      </c>
      <c r="E47" s="12" t="str">
        <v>STK/PCS</v>
      </c>
      <c r="F47" s="12">
        <v>8</v>
      </c>
      <c r="G47" s="155">
        <v>37.9</v>
      </c>
      <c r="H47" s="32">
        <v>3089133</v>
      </c>
    </row>
    <row r="48" spans="1:8" x14ac:dyDescent="0.25">
      <c r="A48" s="17">
        <v>37</v>
      </c>
      <c r="B48" s="5">
        <v>7025165017437</v>
      </c>
      <c r="C48" s="10" t="str">
        <v>HALVSTEKT LOFF / HALV BAKED WHITE BREAD</v>
      </c>
      <c r="D48" s="8">
        <v>0</v>
      </c>
      <c r="E48" s="12" t="str">
        <v>STK/PCS</v>
      </c>
      <c r="F48" s="12">
        <v>1</v>
      </c>
      <c r="G48" s="155">
        <v>37.9</v>
      </c>
      <c r="H48" s="32">
        <v>0</v>
      </c>
    </row>
    <row r="49" spans="1:8" x14ac:dyDescent="0.25">
      <c r="A49" s="17">
        <v>38</v>
      </c>
      <c r="B49" s="5">
        <v>7340011445203</v>
      </c>
      <c r="C49" s="10" t="str">
        <v>HALVSTEKTE RUNDSTYKKER MIX 8STK / MIXED ROLLS 8PC</v>
      </c>
      <c r="D49" s="8">
        <v>0</v>
      </c>
      <c r="E49" s="12" t="str">
        <v>STK/PCS</v>
      </c>
      <c r="F49" s="12">
        <v>1</v>
      </c>
      <c r="G49" s="155">
        <v>28.9</v>
      </c>
      <c r="H49" s="32">
        <v>486100</v>
      </c>
    </row>
    <row r="50" spans="1:8" x14ac:dyDescent="0.25">
      <c r="A50" s="17">
        <v>39</v>
      </c>
      <c r="B50" s="5">
        <v>7340011488651</v>
      </c>
      <c r="C50" s="10" t="str">
        <v>HALVSTEKTE RUNDSTYKKER FINE 16STK / ROLLS WHITE 16PCS</v>
      </c>
      <c r="D50" s="8">
        <v>0</v>
      </c>
      <c r="E50" s="12" t="str">
        <v>STK/PCS</v>
      </c>
      <c r="F50" s="12">
        <v>1</v>
      </c>
      <c r="G50" s="155">
        <v>35.9</v>
      </c>
      <c r="H50" s="32">
        <v>112425</v>
      </c>
    </row>
    <row r="51" spans="1:8" x14ac:dyDescent="0.25">
      <c r="A51" s="17">
        <v>40</v>
      </c>
      <c r="B51" s="5">
        <v>7039317005449</v>
      </c>
      <c r="C51" s="10" t="str">
        <v>SAFARI KJEKS / CHOCOLATE CHIP COOKIE</v>
      </c>
      <c r="D51" s="8">
        <v>0</v>
      </c>
      <c r="E51" s="12" t="str">
        <v>STK/PCS</v>
      </c>
      <c r="F51" s="12">
        <v>20</v>
      </c>
      <c r="G51" s="155">
        <v>21.9</v>
      </c>
      <c r="H51" s="32">
        <v>2836104</v>
      </c>
    </row>
    <row r="52" spans="1:8" x14ac:dyDescent="0.25">
      <c r="A52" s="17">
        <v>41</v>
      </c>
      <c r="B52" s="5">
        <v>5000396021202</v>
      </c>
      <c r="C52" s="10" t="str">
        <v>RITZKJEKS / SALT BISQUIT</v>
      </c>
      <c r="D52" s="8">
        <v>0</v>
      </c>
      <c r="E52" s="12" t="str">
        <v>STK/PCS</v>
      </c>
      <c r="F52" s="12">
        <v>12</v>
      </c>
      <c r="G52" s="155">
        <v>28.9</v>
      </c>
      <c r="H52" s="32">
        <v>2008225</v>
      </c>
    </row>
    <row r="53" spans="1:8" x14ac:dyDescent="0.25">
      <c r="A53" s="17">
        <v>42</v>
      </c>
      <c r="B53" s="5">
        <v>4001518722930</v>
      </c>
      <c r="C53" s="10" t="str">
        <v>JAFFA CAKES / ORANGE COOKIE</v>
      </c>
      <c r="D53" s="8">
        <v>0</v>
      </c>
      <c r="E53" s="12" t="str">
        <v>STK/PCS</v>
      </c>
      <c r="F53" s="12">
        <v>1</v>
      </c>
      <c r="G53" s="155">
        <v>31.9</v>
      </c>
      <c r="H53" s="32">
        <v>0</v>
      </c>
    </row>
    <row r="54" spans="1:8" x14ac:dyDescent="0.25">
      <c r="A54" s="17">
        <v>43</v>
      </c>
      <c r="B54" s="5">
        <v>7340011336808</v>
      </c>
      <c r="C54" s="10" t="str">
        <v>PISTASJENØTTER 140G / PISTACHIO 140G</v>
      </c>
      <c r="D54" s="8">
        <v>0</v>
      </c>
      <c r="E54" s="12" t="str">
        <v>STK/PCS</v>
      </c>
      <c r="F54" s="12">
        <v>14</v>
      </c>
      <c r="G54" s="155">
        <v>43.9</v>
      </c>
      <c r="H54" s="32">
        <v>5700448</v>
      </c>
    </row>
    <row r="55" spans="1:8" x14ac:dyDescent="0.25">
      <c r="A55" s="17">
        <v>44</v>
      </c>
      <c r="B55" s="5">
        <v>7340191126800</v>
      </c>
      <c r="C55" s="10" t="str">
        <v>VALNØTTER 200G / WALNUTS 200G</v>
      </c>
      <c r="D55" s="8">
        <v>0</v>
      </c>
      <c r="E55" s="12" t="str">
        <v>STK/PCS</v>
      </c>
      <c r="F55" s="12">
        <v>10</v>
      </c>
      <c r="G55" s="155">
        <v>45.9</v>
      </c>
      <c r="H55" s="32">
        <v>3230752</v>
      </c>
    </row>
    <row r="56" spans="1:8" x14ac:dyDescent="0.25">
      <c r="A56" s="17">
        <v>45</v>
      </c>
      <c r="B56" s="5">
        <v>7340011492450</v>
      </c>
      <c r="C56" s="10" t="str">
        <v>CASHEWNØTTER NATUREL 150G / CASHEWNUTS NATURAL 150G</v>
      </c>
      <c r="D56" s="8">
        <v>0</v>
      </c>
      <c r="E56" s="12" t="str">
        <v>STK/PCS</v>
      </c>
      <c r="F56" s="12">
        <v>12</v>
      </c>
      <c r="G56" s="155">
        <v>30.9</v>
      </c>
      <c r="H56" s="32">
        <v>3226230</v>
      </c>
    </row>
    <row r="57" spans="1:8" x14ac:dyDescent="0.25">
      <c r="A57" s="17">
        <v>46</v>
      </c>
      <c r="B57" s="5">
        <v>7039317007108</v>
      </c>
      <c r="C57" s="10" t="str">
        <v>PEANØTTER 360G / PEANUTS 360G</v>
      </c>
      <c r="D57" s="8">
        <v>0</v>
      </c>
      <c r="E57" s="12" t="str">
        <v>STK/PCS</v>
      </c>
      <c r="F57" s="12">
        <v>18</v>
      </c>
      <c r="G57" s="155">
        <v>35.9</v>
      </c>
      <c r="H57" s="32">
        <v>2934842</v>
      </c>
    </row>
    <row r="58" spans="1:8" x14ac:dyDescent="0.25">
      <c r="A58" s="17">
        <v>47</v>
      </c>
      <c r="B58" s="5">
        <v>8722700210641</v>
      </c>
      <c r="C58" s="10" t="str">
        <v>GRØNN TE MINT 20POSER / GREEN TEA MINT 20BAGS</v>
      </c>
      <c r="D58" s="8">
        <v>0</v>
      </c>
      <c r="E58" s="12" t="str">
        <v>STK/PCS</v>
      </c>
      <c r="F58" s="12">
        <v>12</v>
      </c>
      <c r="G58" s="155">
        <v>34.9</v>
      </c>
      <c r="H58" s="32">
        <v>1760859</v>
      </c>
    </row>
    <row r="59" spans="1:8" x14ac:dyDescent="0.25">
      <c r="A59" s="17">
        <v>48</v>
      </c>
      <c r="B59" s="5">
        <v>8722700055525</v>
      </c>
      <c r="C59" s="10" t="str">
        <v>GRØNN TE  20 POSER / GREEN TEA 20BAGS</v>
      </c>
      <c r="D59" s="8">
        <v>0</v>
      </c>
      <c r="E59" s="12" t="str">
        <v>STK/PCS</v>
      </c>
      <c r="F59" s="12">
        <v>12</v>
      </c>
      <c r="G59" s="155">
        <v>35.9</v>
      </c>
      <c r="H59" s="32">
        <v>1736297</v>
      </c>
    </row>
    <row r="60" spans="1:8" x14ac:dyDescent="0.25">
      <c r="A60" s="17">
        <v>49</v>
      </c>
      <c r="B60" s="5">
        <v>70177173302</v>
      </c>
      <c r="C60" s="10" t="str">
        <v>GRØNN TE SITRON 25 POSER / GREEN TEA W. LEMON 25BAGS</v>
      </c>
      <c r="D60" s="8">
        <v>0</v>
      </c>
      <c r="E60" s="12" t="str">
        <v>STK/PCS</v>
      </c>
      <c r="F60" s="12">
        <v>12</v>
      </c>
      <c r="G60" s="155">
        <v>82.9</v>
      </c>
      <c r="H60" s="32">
        <v>4426862</v>
      </c>
    </row>
    <row r="61" spans="1:8" x14ac:dyDescent="0.25">
      <c r="A61" s="17">
        <v>50</v>
      </c>
      <c r="B61" s="5">
        <v>70177077563</v>
      </c>
      <c r="C61" s="10" t="str">
        <v>EARL GREY 25 POSER / EARL GREY 25BAGS</v>
      </c>
      <c r="D61" s="8">
        <v>0</v>
      </c>
      <c r="E61" s="12" t="str">
        <v>STK/PCS</v>
      </c>
      <c r="F61" s="12">
        <v>12</v>
      </c>
      <c r="G61" s="155">
        <v>50.9</v>
      </c>
      <c r="H61" s="32">
        <v>4426979</v>
      </c>
    </row>
    <row r="62" spans="1:8" x14ac:dyDescent="0.25">
      <c r="A62" s="17">
        <v>51</v>
      </c>
      <c r="B62" s="5">
        <v>8000070027442</v>
      </c>
      <c r="C62" s="10" t="str">
        <v>KAFFEBØNNER KOFFEINFRI LAVAZZA 500G / COFFEBEANS COFFEINFREE 500G</v>
      </c>
      <c r="D62" s="8">
        <v>0</v>
      </c>
      <c r="E62" s="12" t="str">
        <v>STK/PCS</v>
      </c>
      <c r="F62" s="12">
        <v>12</v>
      </c>
      <c r="G62" s="155">
        <v>219</v>
      </c>
      <c r="H62" s="32">
        <v>0</v>
      </c>
    </row>
    <row r="63" spans="1:8" x14ac:dyDescent="0.25">
      <c r="A63" s="17">
        <v>52</v>
      </c>
      <c r="B63" s="5">
        <v>8000070035898</v>
      </c>
      <c r="C63" s="10" t="str">
        <v>HELE KAFFEBØNNER 1 KG / COFFEE BEANS 1KG LAVAZZA</v>
      </c>
      <c r="D63" s="8">
        <v>0</v>
      </c>
      <c r="E63" s="12" t="str">
        <v>STK/PCS</v>
      </c>
      <c r="F63" s="12">
        <v>1</v>
      </c>
      <c r="G63" s="155">
        <v>299</v>
      </c>
      <c r="H63" s="32">
        <v>2022770</v>
      </c>
    </row>
    <row r="64" spans="1:8" x14ac:dyDescent="0.25">
      <c r="A64" s="17">
        <v>53</v>
      </c>
      <c r="B64" s="5">
        <v>8000070025400</v>
      </c>
      <c r="C64" s="10" t="str">
        <v>HELE KAFFEBØNNER CREMA 1KG / COFFEE BEANS CREME 1KG</v>
      </c>
      <c r="D64" s="8">
        <v>0</v>
      </c>
      <c r="E64" s="12" t="str">
        <v>STK/PCS</v>
      </c>
      <c r="F64" s="12">
        <v>1</v>
      </c>
      <c r="G64" s="155">
        <v>319</v>
      </c>
      <c r="H64" s="32">
        <v>0</v>
      </c>
    </row>
    <row r="65" spans="1:8" x14ac:dyDescent="0.25">
      <c r="A65" s="17">
        <v>54</v>
      </c>
      <c r="B65" s="5">
        <v>7613036932172</v>
      </c>
      <c r="C65" s="10" t="str">
        <v>STARBUCK ESPRESSO HELE BØNNER 200G / SB ESPRESSO WHOLE BEANS</v>
      </c>
      <c r="D65" s="8">
        <v>0</v>
      </c>
      <c r="E65" s="12" t="str">
        <v>STK/PCS</v>
      </c>
      <c r="F65" s="12">
        <v>1</v>
      </c>
      <c r="G65" s="155">
        <v>68.900000000000006</v>
      </c>
      <c r="H65" s="32">
        <v>5679485</v>
      </c>
    </row>
    <row r="66" spans="1:8" x14ac:dyDescent="0.25">
      <c r="A66" s="17">
        <v>55</v>
      </c>
      <c r="B66" s="5">
        <v>7613036932110</v>
      </c>
      <c r="C66" s="10" t="str">
        <v>STARBUCKS HOUSE BLEND HELE BØNNER 20G / SB HOUSE BLEND WHOLE</v>
      </c>
      <c r="D66" s="8">
        <v>0</v>
      </c>
      <c r="E66" s="12" t="str">
        <v>STK/PCS</v>
      </c>
      <c r="F66" s="12">
        <v>1</v>
      </c>
      <c r="G66" s="155">
        <v>53.9</v>
      </c>
      <c r="H66" s="32">
        <v>5416789</v>
      </c>
    </row>
    <row r="67" spans="1:8" x14ac:dyDescent="0.25">
      <c r="A67" s="17">
        <v>56</v>
      </c>
      <c r="B67" s="5">
        <v>7322540934960</v>
      </c>
      <c r="C67" s="10" t="str">
        <v>TORK MULTIFOLD 21x180 / TORK MULTIFOLD 21CM</v>
      </c>
      <c r="D67" s="8">
        <v>0</v>
      </c>
      <c r="E67" s="12" t="str">
        <v>STK/PCS</v>
      </c>
      <c r="F67" s="12">
        <v>1</v>
      </c>
      <c r="G67" s="155">
        <v>699</v>
      </c>
      <c r="H67" s="32">
        <v>4334744</v>
      </c>
    </row>
    <row r="68" spans="1:8" x14ac:dyDescent="0.25">
      <c r="A68" s="17">
        <v>57</v>
      </c>
      <c r="B68" s="5">
        <v>0</v>
      </c>
      <c r="C68" s="10" t="str">
        <v>ENGANGSHANSKER SMALL 100STK / DISPOSABLE GLOVE SMALL 100PCS</v>
      </c>
      <c r="D68" s="8">
        <v>0</v>
      </c>
      <c r="E68" s="12" t="str">
        <v>STK/PCS</v>
      </c>
      <c r="F68" s="12">
        <v>1</v>
      </c>
      <c r="G68" s="155">
        <v>119.9</v>
      </c>
      <c r="H68" s="32">
        <v>1104439</v>
      </c>
    </row>
    <row r="69" spans="1:8" x14ac:dyDescent="0.25">
      <c r="A69" s="17">
        <v>58</v>
      </c>
      <c r="B69" s="5">
        <v>7052151922888</v>
      </c>
      <c r="C69" s="10" t="str">
        <v>ENGANGSHANSKER MEDIUM 100STK / DISPOSABLE GLOVE MEDIUM 100PCS</v>
      </c>
      <c r="D69" s="8">
        <v>0</v>
      </c>
      <c r="E69" s="12" t="str">
        <v>STK/PCS</v>
      </c>
      <c r="F69" s="12">
        <v>1</v>
      </c>
      <c r="G69" s="155">
        <v>119.9</v>
      </c>
      <c r="H69" s="32">
        <v>1104447</v>
      </c>
    </row>
    <row r="70" spans="1:8" x14ac:dyDescent="0.25">
      <c r="A70" s="17">
        <v>59</v>
      </c>
      <c r="B70" s="5">
        <v>7052151922895</v>
      </c>
      <c r="C70" s="10" t="str">
        <v>ENGANSHANSKER LARGE 100STK / DISPOSABLE GLOVE LARGE 100PCS</v>
      </c>
      <c r="D70" s="8">
        <v>0</v>
      </c>
      <c r="E70" s="12" t="str">
        <v>STK/PCS</v>
      </c>
      <c r="F70" s="12">
        <v>1</v>
      </c>
      <c r="G70" s="155">
        <v>119.9</v>
      </c>
      <c r="H70" s="32">
        <v>11060661</v>
      </c>
    </row>
    <row r="71" spans="1:8" x14ac:dyDescent="0.25">
      <c r="A71" s="17">
        <v>60</v>
      </c>
      <c r="B71" s="5">
        <v>0</v>
      </c>
      <c r="C71" s="10" t="str">
        <v>ENGANGSHANSKER X-LARGE 100STK / DISPOSABLE GLOVE X-LARGE 100PCS</v>
      </c>
      <c r="D71" s="8">
        <v>0</v>
      </c>
      <c r="E71" s="12" t="str">
        <v>STK/PCS</v>
      </c>
      <c r="F71" s="12">
        <v>1</v>
      </c>
      <c r="G71" s="155">
        <v>119.9</v>
      </c>
      <c r="H71" s="32">
        <v>2036945</v>
      </c>
    </row>
    <row r="72" spans="1:8" x14ac:dyDescent="0.25">
      <c r="A72" s="17">
        <v>61</v>
      </c>
      <c r="B72" s="5">
        <v>0</v>
      </c>
      <c r="C72" s="10" t="str">
        <v>LEDIG</v>
      </c>
      <c r="D72" s="8">
        <v>0</v>
      </c>
      <c r="E72" s="12">
        <v>0</v>
      </c>
      <c r="F72" s="12">
        <v>0</v>
      </c>
      <c r="G72" s="155">
        <v>0</v>
      </c>
      <c r="H72" s="32">
        <v>0</v>
      </c>
    </row>
    <row r="73" spans="1:8" x14ac:dyDescent="0.25">
      <c r="A73" s="17">
        <v>62</v>
      </c>
      <c r="B73" s="5">
        <v>0</v>
      </c>
      <c r="C73" s="10" t="str">
        <v>LEDIG</v>
      </c>
      <c r="D73" s="8">
        <v>0</v>
      </c>
      <c r="E73" s="12">
        <v>0</v>
      </c>
      <c r="F73" s="12">
        <v>0</v>
      </c>
      <c r="G73" s="155">
        <v>0</v>
      </c>
      <c r="H73" s="32">
        <v>0</v>
      </c>
    </row>
    <row r="74" spans="1:8" x14ac:dyDescent="0.25">
      <c r="A74" s="17">
        <v>63</v>
      </c>
      <c r="B74" s="5">
        <v>0</v>
      </c>
      <c r="C74" s="10" t="str">
        <v>LEDIG</v>
      </c>
      <c r="D74" s="8">
        <v>0</v>
      </c>
      <c r="E74" s="12">
        <v>0</v>
      </c>
      <c r="F74" s="12">
        <v>0</v>
      </c>
      <c r="G74" s="155">
        <v>0</v>
      </c>
      <c r="H74" s="32">
        <v>0</v>
      </c>
    </row>
    <row r="75" spans="1:8" x14ac:dyDescent="0.25">
      <c r="A75" s="17">
        <v>64</v>
      </c>
      <c r="B75" s="5">
        <v>0</v>
      </c>
      <c r="C75" s="10" t="str">
        <v>LEDIG</v>
      </c>
      <c r="D75" s="8">
        <v>0</v>
      </c>
      <c r="E75" s="12">
        <v>0</v>
      </c>
      <c r="F75" s="12">
        <v>0</v>
      </c>
      <c r="G75" s="155">
        <v>0</v>
      </c>
      <c r="H75" s="32">
        <v>0</v>
      </c>
    </row>
    <row r="76" spans="1:8" x14ac:dyDescent="0.25">
      <c r="A76" s="17">
        <v>65</v>
      </c>
      <c r="B76" s="5">
        <v>0</v>
      </c>
      <c r="C76" s="10" t="str">
        <v>LEDIG</v>
      </c>
      <c r="D76" s="8">
        <v>0</v>
      </c>
      <c r="E76" s="12">
        <v>0</v>
      </c>
      <c r="F76" s="12">
        <v>0</v>
      </c>
      <c r="G76" s="155">
        <v>0</v>
      </c>
      <c r="H76" s="32">
        <v>0</v>
      </c>
    </row>
    <row r="77" spans="1:8" x14ac:dyDescent="0.25">
      <c r="A77" s="17" cm="1">
        <f t="array" ref="A77:G98">Tabell7[[NUMMER]:[NOK]]</f>
        <v>1</v>
      </c>
      <c r="B77" s="5">
        <v>0</v>
      </c>
      <c r="C77" s="10" t="str">
        <v>SORT PEPPER GROVMALT 3KG / BLACK PEPPER CRUSHED 3KG</v>
      </c>
      <c r="D77" s="8">
        <v>0</v>
      </c>
      <c r="E77" s="12" t="str">
        <v>STK/PCS</v>
      </c>
      <c r="F77" s="12">
        <v>1</v>
      </c>
      <c r="G77" s="155">
        <v>999</v>
      </c>
      <c r="H77" s="32" cm="1">
        <f t="array" ref="H77:H98">Tabell7[V.NR SOLINA]</f>
        <v>91120401</v>
      </c>
    </row>
    <row r="78" spans="1:8" x14ac:dyDescent="0.25">
      <c r="A78" s="17">
        <v>2</v>
      </c>
      <c r="B78" s="5">
        <v>0</v>
      </c>
      <c r="C78" s="10" t="str">
        <v>SORT PEPPER FINMALT 2KG / BLACK PEPPER POWDER 2KG</v>
      </c>
      <c r="D78" s="8">
        <v>0</v>
      </c>
      <c r="E78" s="12" t="str">
        <v>STK/PCS</v>
      </c>
      <c r="F78" s="12">
        <v>1</v>
      </c>
      <c r="G78" s="155">
        <v>749</v>
      </c>
      <c r="H78" s="32">
        <v>91111059</v>
      </c>
    </row>
    <row r="79" spans="1:8" x14ac:dyDescent="0.25">
      <c r="A79" s="17">
        <v>3</v>
      </c>
      <c r="B79" s="5">
        <v>0</v>
      </c>
      <c r="C79" s="10" t="str">
        <v>HVIT PEPPER FINMALT 1KG / WHITE PEPPER POWDER 1KG</v>
      </c>
      <c r="D79" s="8">
        <v>0</v>
      </c>
      <c r="E79" s="12" t="str">
        <v>STK/PCS</v>
      </c>
      <c r="F79" s="12">
        <v>1</v>
      </c>
      <c r="G79" s="155">
        <v>349</v>
      </c>
      <c r="H79" s="32">
        <v>91124022</v>
      </c>
    </row>
    <row r="80" spans="1:8" x14ac:dyDescent="0.25">
      <c r="A80" s="17">
        <v>4</v>
      </c>
      <c r="B80" s="5">
        <v>0</v>
      </c>
      <c r="C80" s="10" t="str">
        <v>PROVANCEKRYDDER 500G / HERB DE PROVENCE 500G</v>
      </c>
      <c r="D80" s="8">
        <v>0</v>
      </c>
      <c r="E80" s="12" t="str">
        <v>STK/PCS</v>
      </c>
      <c r="F80" s="12">
        <v>1</v>
      </c>
      <c r="G80" s="155">
        <v>349</v>
      </c>
      <c r="H80" s="32">
        <v>0</v>
      </c>
    </row>
    <row r="81" spans="1:8" x14ac:dyDescent="0.25">
      <c r="A81" s="17">
        <v>5</v>
      </c>
      <c r="B81" s="5">
        <v>0</v>
      </c>
      <c r="C81" s="10" t="str">
        <v>KARRI 500G / CURRY 500G</v>
      </c>
      <c r="D81" s="8">
        <v>0</v>
      </c>
      <c r="E81" s="12" t="str">
        <v>STK/PCS</v>
      </c>
      <c r="F81" s="12">
        <v>1</v>
      </c>
      <c r="G81" s="155">
        <v>349</v>
      </c>
      <c r="H81" s="32">
        <v>91124052</v>
      </c>
    </row>
    <row r="82" spans="1:8" x14ac:dyDescent="0.25">
      <c r="A82" s="17">
        <v>6</v>
      </c>
      <c r="B82" s="5">
        <v>0</v>
      </c>
      <c r="C82" s="10" t="str">
        <v>HVITLØKSPULVER 500G / GARLIC POWDER 500G</v>
      </c>
      <c r="D82" s="8">
        <v>0</v>
      </c>
      <c r="E82" s="12" t="str">
        <v>STK/PCS</v>
      </c>
      <c r="F82" s="12">
        <v>1</v>
      </c>
      <c r="G82" s="155">
        <v>349</v>
      </c>
      <c r="H82" s="32">
        <v>91124006</v>
      </c>
    </row>
    <row r="83" spans="1:8" x14ac:dyDescent="0.25">
      <c r="A83" s="17">
        <v>7</v>
      </c>
      <c r="B83" s="5">
        <v>0</v>
      </c>
      <c r="C83" s="10" t="str">
        <v>HVITLØKSPEPPER 2,5KG / GARLICPEPPER 2,5KG</v>
      </c>
      <c r="D83" s="8">
        <v>0</v>
      </c>
      <c r="E83" s="12" t="str">
        <v>STK/PCS</v>
      </c>
      <c r="F83" s="12">
        <v>1</v>
      </c>
      <c r="G83" s="155">
        <v>699</v>
      </c>
      <c r="H83" s="32">
        <v>0</v>
      </c>
    </row>
    <row r="84" spans="1:8" x14ac:dyDescent="0.25">
      <c r="A84" s="17">
        <v>8</v>
      </c>
      <c r="B84" s="5">
        <v>0</v>
      </c>
      <c r="C84" s="10" t="str">
        <v>ESTRAGON 500G / TARRAGON 500G</v>
      </c>
      <c r="D84" s="8">
        <v>0</v>
      </c>
      <c r="E84" s="12" t="str">
        <v>STK/PCS</v>
      </c>
      <c r="F84" s="12">
        <v>1</v>
      </c>
      <c r="G84" s="155">
        <v>699</v>
      </c>
      <c r="H84" s="32">
        <v>0</v>
      </c>
    </row>
    <row r="85" spans="1:8" x14ac:dyDescent="0.25">
      <c r="A85" s="17">
        <v>9</v>
      </c>
      <c r="B85" s="5">
        <v>0</v>
      </c>
      <c r="C85" s="10" t="str">
        <v>RAMSLØK TØRKET 500G / RAMSON 500G</v>
      </c>
      <c r="D85" s="8">
        <v>0</v>
      </c>
      <c r="E85" s="12" t="str">
        <v>STK/PCS</v>
      </c>
      <c r="F85" s="12">
        <v>1</v>
      </c>
      <c r="G85" s="155">
        <v>449</v>
      </c>
      <c r="H85" s="32">
        <v>91124056</v>
      </c>
    </row>
    <row r="86" spans="1:8" x14ac:dyDescent="0.25">
      <c r="A86" s="17">
        <v>10</v>
      </c>
      <c r="B86" s="5">
        <v>0</v>
      </c>
      <c r="C86" s="10" t="str">
        <v>SORT PEPPER HEL 1KG / BLACK PEPPER WHOLE 1KG</v>
      </c>
      <c r="D86" s="8">
        <v>0</v>
      </c>
      <c r="E86" s="12" t="str">
        <v>STK/PCS</v>
      </c>
      <c r="F86" s="12">
        <v>1</v>
      </c>
      <c r="G86" s="155">
        <v>499</v>
      </c>
      <c r="H86" s="32">
        <v>91124009</v>
      </c>
    </row>
    <row r="87" spans="1:8" x14ac:dyDescent="0.25">
      <c r="A87" s="17">
        <v>11</v>
      </c>
      <c r="B87" s="5">
        <v>0</v>
      </c>
      <c r="C87" s="10" t="str">
        <v>BASILKUM 500G / BASIL 500G</v>
      </c>
      <c r="D87" s="8">
        <v>0</v>
      </c>
      <c r="E87" s="12" t="str">
        <v>STK/PCS</v>
      </c>
      <c r="F87" s="12">
        <v>1</v>
      </c>
      <c r="G87" s="155">
        <v>199</v>
      </c>
      <c r="H87" s="32">
        <v>91124008</v>
      </c>
    </row>
    <row r="88" spans="1:8" x14ac:dyDescent="0.25">
      <c r="A88" s="17">
        <v>12</v>
      </c>
      <c r="B88" s="5">
        <v>0</v>
      </c>
      <c r="C88" s="10" t="str">
        <v>TØRKET LØK 1KG / DRIED ONION 1KG</v>
      </c>
      <c r="D88" s="8">
        <v>0</v>
      </c>
      <c r="E88" s="12" t="str">
        <v>STK/PCS</v>
      </c>
      <c r="F88" s="12">
        <v>1</v>
      </c>
      <c r="G88" s="155">
        <v>299</v>
      </c>
      <c r="H88" s="32">
        <v>91124011</v>
      </c>
    </row>
    <row r="89" spans="1:8" x14ac:dyDescent="0.25">
      <c r="A89" s="17">
        <v>13</v>
      </c>
      <c r="B89" s="5">
        <v>0</v>
      </c>
      <c r="C89" s="10" t="str">
        <v>OREGANO 500G / OREGANO 500G</v>
      </c>
      <c r="D89" s="8">
        <v>0</v>
      </c>
      <c r="E89" s="12" t="str">
        <v>STK/PCS</v>
      </c>
      <c r="F89" s="12">
        <v>1</v>
      </c>
      <c r="G89" s="155">
        <v>299</v>
      </c>
      <c r="H89" s="32">
        <v>91124001</v>
      </c>
    </row>
    <row r="90" spans="1:8" x14ac:dyDescent="0.25">
      <c r="A90" s="17">
        <v>14</v>
      </c>
      <c r="B90" s="5">
        <v>0</v>
      </c>
      <c r="C90" s="10" t="str">
        <v>PERSILLE 500G / PARSLEY 500G</v>
      </c>
      <c r="D90" s="8">
        <v>0</v>
      </c>
      <c r="E90" s="12" t="str">
        <v>STK/PCS</v>
      </c>
      <c r="F90" s="12">
        <v>1</v>
      </c>
      <c r="G90" s="155">
        <v>199</v>
      </c>
      <c r="H90" s="32">
        <v>91124021</v>
      </c>
    </row>
    <row r="91" spans="1:8" x14ac:dyDescent="0.25">
      <c r="A91" s="17">
        <v>15</v>
      </c>
      <c r="B91" s="5">
        <v>0</v>
      </c>
      <c r="C91" s="10" t="str">
        <v>GRESSLØK 400G / CHIVES 400G</v>
      </c>
      <c r="D91" s="8">
        <v>0</v>
      </c>
      <c r="E91" s="12" t="str">
        <v>STK/PCS</v>
      </c>
      <c r="F91" s="12">
        <v>1</v>
      </c>
      <c r="G91" s="155">
        <v>299</v>
      </c>
      <c r="H91" s="32">
        <v>91124040</v>
      </c>
    </row>
    <row r="92" spans="1:8" x14ac:dyDescent="0.25">
      <c r="A92" s="17">
        <v>16</v>
      </c>
      <c r="B92" s="5">
        <v>0</v>
      </c>
      <c r="C92" s="10" t="str">
        <v>MUSKATNØTT 1KG / NUTMEG 1KG</v>
      </c>
      <c r="D92" s="8">
        <v>0</v>
      </c>
      <c r="E92" s="12" t="str">
        <v>STK/PCS</v>
      </c>
      <c r="F92" s="12">
        <v>1</v>
      </c>
      <c r="G92" s="155">
        <v>499</v>
      </c>
      <c r="H92" s="32">
        <v>91124046</v>
      </c>
    </row>
    <row r="93" spans="1:8" x14ac:dyDescent="0.25">
      <c r="A93" s="17">
        <v>17</v>
      </c>
      <c r="B93" s="5">
        <v>8711327456181</v>
      </c>
      <c r="C93" s="10" t="str">
        <v>AROMAT 1,2KG / AROMAT 1,2KG</v>
      </c>
      <c r="D93" s="8">
        <v>0</v>
      </c>
      <c r="E93" s="12" t="str">
        <v>STK/PCS</v>
      </c>
      <c r="F93" s="12">
        <v>1</v>
      </c>
      <c r="G93" s="155">
        <v>295</v>
      </c>
      <c r="H93" s="32">
        <v>5692983</v>
      </c>
    </row>
    <row r="94" spans="1:8" x14ac:dyDescent="0.25">
      <c r="A94" s="170">
        <v>18</v>
      </c>
      <c r="B94" s="177">
        <v>0</v>
      </c>
      <c r="C94" s="10" t="str">
        <v>LEDIG</v>
      </c>
      <c r="D94" s="8">
        <v>0</v>
      </c>
      <c r="E94" s="10">
        <v>0</v>
      </c>
      <c r="F94" s="10">
        <v>0</v>
      </c>
      <c r="G94" s="10">
        <v>0</v>
      </c>
      <c r="H94" s="32">
        <v>0</v>
      </c>
    </row>
    <row r="95" spans="1:8" x14ac:dyDescent="0.25">
      <c r="A95" s="170">
        <v>19</v>
      </c>
      <c r="B95" s="177">
        <v>0</v>
      </c>
      <c r="C95" s="10" t="str">
        <v>LEDIG</v>
      </c>
      <c r="D95" s="8">
        <v>0</v>
      </c>
      <c r="E95" s="10">
        <v>0</v>
      </c>
      <c r="F95" s="10">
        <v>0</v>
      </c>
      <c r="G95" s="10">
        <v>0</v>
      </c>
      <c r="H95" s="32">
        <v>0</v>
      </c>
    </row>
    <row r="96" spans="1:8" x14ac:dyDescent="0.25">
      <c r="A96" s="170">
        <v>20</v>
      </c>
      <c r="B96" s="177">
        <v>0</v>
      </c>
      <c r="C96" s="10" t="str">
        <v>LEDIG</v>
      </c>
      <c r="D96" s="8">
        <v>0</v>
      </c>
      <c r="E96" s="10">
        <v>0</v>
      </c>
      <c r="F96" s="10">
        <v>0</v>
      </c>
      <c r="G96" s="10">
        <v>0</v>
      </c>
      <c r="H96" s="32">
        <v>0</v>
      </c>
    </row>
    <row r="97" spans="1:8" x14ac:dyDescent="0.25">
      <c r="A97" s="170">
        <v>21</v>
      </c>
      <c r="B97" s="177">
        <v>0</v>
      </c>
      <c r="C97" s="10" t="str">
        <v>LEDIG</v>
      </c>
      <c r="D97" s="8">
        <v>0</v>
      </c>
      <c r="E97" s="10">
        <v>0</v>
      </c>
      <c r="F97" s="10">
        <v>0</v>
      </c>
      <c r="G97" s="10">
        <v>0</v>
      </c>
      <c r="H97" s="32">
        <v>0</v>
      </c>
    </row>
    <row r="98" spans="1:8" x14ac:dyDescent="0.25">
      <c r="A98" s="170">
        <v>22</v>
      </c>
      <c r="B98" s="177">
        <v>0</v>
      </c>
      <c r="C98" s="10" t="str">
        <v>LEDIG</v>
      </c>
      <c r="D98" s="8">
        <v>0</v>
      </c>
      <c r="E98" s="10">
        <v>0</v>
      </c>
      <c r="F98" s="10">
        <v>0</v>
      </c>
      <c r="G98" s="10">
        <v>0</v>
      </c>
      <c r="H98" s="32">
        <v>0</v>
      </c>
    </row>
    <row r="99" spans="1:8" x14ac:dyDescent="0.25">
      <c r="H99" s="151"/>
    </row>
    <row r="100" spans="1:8" x14ac:dyDescent="0.25">
      <c r="H100" s="151"/>
    </row>
    <row r="101" spans="1:8" x14ac:dyDescent="0.25">
      <c r="H101" s="151"/>
    </row>
    <row r="102" spans="1:8" x14ac:dyDescent="0.25">
      <c r="H102" s="151"/>
    </row>
    <row r="103" spans="1:8" x14ac:dyDescent="0.25">
      <c r="H103" s="151"/>
    </row>
    <row r="104" spans="1:8" x14ac:dyDescent="0.25">
      <c r="H104" s="151"/>
    </row>
    <row r="105" spans="1:8" x14ac:dyDescent="0.25">
      <c r="H105" s="151"/>
    </row>
    <row r="106" spans="1:8" x14ac:dyDescent="0.25">
      <c r="H106" s="151"/>
    </row>
    <row r="107" spans="1:8" x14ac:dyDescent="0.25">
      <c r="H107" s="151"/>
    </row>
    <row r="108" spans="1:8" x14ac:dyDescent="0.25">
      <c r="H108" s="151"/>
    </row>
    <row r="109" spans="1:8" x14ac:dyDescent="0.25">
      <c r="H109" s="151"/>
    </row>
    <row r="110" spans="1:8" x14ac:dyDescent="0.25">
      <c r="H110" s="151"/>
    </row>
    <row r="111" spans="1:8" x14ac:dyDescent="0.25">
      <c r="H111" s="151"/>
    </row>
    <row r="112" spans="1:8" x14ac:dyDescent="0.25">
      <c r="H112" s="151"/>
    </row>
    <row r="113" spans="8:8" x14ac:dyDescent="0.25">
      <c r="H113" s="151"/>
    </row>
    <row r="114" spans="8:8" x14ac:dyDescent="0.25">
      <c r="H114" s="151"/>
    </row>
    <row r="115" spans="8:8" x14ac:dyDescent="0.25">
      <c r="H115" s="151"/>
    </row>
    <row r="116" spans="8:8" x14ac:dyDescent="0.25">
      <c r="H116" s="151"/>
    </row>
    <row r="117" spans="8:8" x14ac:dyDescent="0.25">
      <c r="H117" s="151"/>
    </row>
    <row r="118" spans="8:8" x14ac:dyDescent="0.25">
      <c r="H118" s="151"/>
    </row>
  </sheetData>
  <autoFilter ref="A11:H11" xr:uid="{E054C747-BDB9-442D-86E5-8BF88883049C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67" fitToHeight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AFF7-20CC-4776-8020-276A6988D072}">
  <sheetPr codeName="Ark8">
    <pageSetUpPr fitToPage="1"/>
  </sheetPr>
  <dimension ref="A1:J53"/>
  <sheetViews>
    <sheetView showZeros="0" topLeftCell="A15" zoomScale="80" zoomScaleNormal="80" workbookViewId="0">
      <selection activeCell="D12" sqref="D12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58.42578125" bestFit="1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6"/>
      <c r="C2" s="7"/>
      <c r="D2" s="48"/>
      <c r="E2" s="66"/>
      <c r="F2" s="67"/>
      <c r="G2" s="7"/>
      <c r="H2" s="46"/>
      <c r="I2" s="6"/>
    </row>
    <row r="3" spans="1:10" ht="19.5" thickBot="1" x14ac:dyDescent="0.35">
      <c r="A3" s="6"/>
      <c r="B3" s="63"/>
      <c r="C3" s="7"/>
      <c r="D3" s="44"/>
      <c r="E3" s="64"/>
      <c r="F3" s="65"/>
      <c r="G3" s="7"/>
      <c r="H3" s="63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6"/>
      <c r="C5" s="7"/>
      <c r="D5" s="46"/>
      <c r="E5" s="7"/>
      <c r="F5" s="7"/>
      <c r="G5" s="7"/>
      <c r="H5" s="46"/>
      <c r="I5" s="6"/>
    </row>
    <row r="6" spans="1:10" ht="19.5" thickBot="1" x14ac:dyDescent="0.35">
      <c r="A6" s="6"/>
      <c r="B6" s="63"/>
      <c r="C6" s="7"/>
      <c r="D6" s="63"/>
      <c r="E6" s="7"/>
      <c r="F6" s="7"/>
      <c r="G6" s="7"/>
      <c r="H6" s="63"/>
      <c r="I6" s="6"/>
    </row>
    <row r="10" spans="1:10" ht="23.25" x14ac:dyDescent="0.35">
      <c r="A10" s="216" t="s">
        <v>363</v>
      </c>
      <c r="B10" s="216"/>
      <c r="C10" s="216"/>
      <c r="D10" s="216"/>
      <c r="E10" s="216"/>
      <c r="F10" s="216"/>
      <c r="G10" s="216"/>
      <c r="H10" s="16"/>
      <c r="I10" s="16"/>
      <c r="J10" s="16"/>
    </row>
    <row r="11" spans="1:10" ht="30" x14ac:dyDescent="0.25">
      <c r="A11" s="1" t="s">
        <v>6</v>
      </c>
      <c r="B11" s="1" t="s">
        <v>7</v>
      </c>
      <c r="C11" s="2" t="s">
        <v>8</v>
      </c>
      <c r="D11" s="2" t="s">
        <v>9</v>
      </c>
      <c r="E11" s="2" t="s">
        <v>10</v>
      </c>
      <c r="F11" s="3" t="s">
        <v>11</v>
      </c>
      <c r="G11" s="4" t="s">
        <v>12</v>
      </c>
      <c r="H11" s="153" t="s">
        <v>421</v>
      </c>
    </row>
    <row r="12" spans="1:10" x14ac:dyDescent="0.25">
      <c r="A12" s="18" cm="1">
        <f t="array" ref="A12:G44">Tabell8[[NUMMER]:[NOK]]</f>
        <v>1</v>
      </c>
      <c r="B12" s="19">
        <v>7025150012102</v>
      </c>
      <c r="C12" s="11" t="str">
        <v>APPELSINJUICE 1,5L / ORANGE JUICE 1,5L</v>
      </c>
      <c r="D12" s="9">
        <v>0</v>
      </c>
      <c r="E12" s="13" t="str">
        <v>STK/PCS</v>
      </c>
      <c r="F12" s="13">
        <v>8</v>
      </c>
      <c r="G12" s="154">
        <v>22.9</v>
      </c>
      <c r="H12" s="32" cm="1">
        <f t="array" ref="H12:H44">Tabell8[V.NR KRAEMER]</f>
        <v>10057</v>
      </c>
    </row>
    <row r="13" spans="1:10" x14ac:dyDescent="0.25">
      <c r="A13" s="17">
        <v>2</v>
      </c>
      <c r="B13" s="5">
        <v>7025150014106</v>
      </c>
      <c r="C13" s="10" t="str">
        <v>EPLEJUICE 1,5L / APPELJUICE 1,5L</v>
      </c>
      <c r="D13" s="8">
        <v>0</v>
      </c>
      <c r="E13" s="12" t="str">
        <v>STK/PCS</v>
      </c>
      <c r="F13" s="12">
        <v>8</v>
      </c>
      <c r="G13" s="155">
        <v>22.9</v>
      </c>
      <c r="H13" s="32">
        <v>10058</v>
      </c>
    </row>
    <row r="14" spans="1:10" x14ac:dyDescent="0.25">
      <c r="A14" s="17">
        <v>3</v>
      </c>
      <c r="B14" s="5">
        <v>7025150014908</v>
      </c>
      <c r="C14" s="10" t="str">
        <v>FROKOSTJUICE 1,5l / MULTIJUICE 1,5L</v>
      </c>
      <c r="D14" s="8">
        <v>0</v>
      </c>
      <c r="E14" s="12" t="str">
        <v>STK/PCS</v>
      </c>
      <c r="F14" s="12">
        <v>8</v>
      </c>
      <c r="G14" s="155">
        <v>22.9</v>
      </c>
      <c r="H14" s="32">
        <v>3221975</v>
      </c>
    </row>
    <row r="15" spans="1:10" x14ac:dyDescent="0.25">
      <c r="A15" s="17">
        <v>4</v>
      </c>
      <c r="B15" s="5">
        <v>5705001405612</v>
      </c>
      <c r="C15" s="10" t="str">
        <v>TRANEBÆRJUICE 1L / CRANBERRYJUICE 1L</v>
      </c>
      <c r="D15" s="8">
        <v>0</v>
      </c>
      <c r="E15" s="12" t="str">
        <v>STK/PCS</v>
      </c>
      <c r="F15" s="12">
        <v>12</v>
      </c>
      <c r="G15" s="155">
        <v>46.9</v>
      </c>
      <c r="H15" s="32">
        <v>5131701</v>
      </c>
    </row>
    <row r="16" spans="1:10" x14ac:dyDescent="0.25">
      <c r="A16" s="17">
        <v>5</v>
      </c>
      <c r="B16" s="5">
        <v>5705001405100</v>
      </c>
      <c r="C16" s="10" t="str">
        <v>TOMATJUICE 1L / TOMATOJUICE 1L</v>
      </c>
      <c r="D16" s="8">
        <v>0</v>
      </c>
      <c r="E16" s="12" t="str">
        <v>STK/PCS</v>
      </c>
      <c r="F16" s="12">
        <v>12</v>
      </c>
      <c r="G16" s="155">
        <v>24.9</v>
      </c>
      <c r="H16" s="32">
        <v>1366160</v>
      </c>
    </row>
    <row r="17" spans="1:8" x14ac:dyDescent="0.25">
      <c r="A17" s="17">
        <v>6</v>
      </c>
      <c r="B17" s="5">
        <v>7025110077691</v>
      </c>
      <c r="C17" s="10" t="str">
        <v>ANANASJUICE 1L / PINEAPPLE JUICE 1L</v>
      </c>
      <c r="D17" s="8">
        <v>0</v>
      </c>
      <c r="E17" s="12" t="str">
        <v>STK/PCS</v>
      </c>
      <c r="F17" s="12">
        <v>12</v>
      </c>
      <c r="G17" s="155">
        <v>38.9</v>
      </c>
      <c r="H17" s="32">
        <v>2211084</v>
      </c>
    </row>
    <row r="18" spans="1:8" x14ac:dyDescent="0.25">
      <c r="A18" s="17">
        <v>7</v>
      </c>
      <c r="B18" s="5">
        <v>5410233763187</v>
      </c>
      <c r="C18" s="10" t="str">
        <v>SITRON JUICE REALLEMON / LEMON JUICE REALLEMON 10L</v>
      </c>
      <c r="D18" s="8">
        <v>0</v>
      </c>
      <c r="E18" s="12" t="str">
        <v>STK/PCS</v>
      </c>
      <c r="F18" s="12">
        <v>1</v>
      </c>
      <c r="G18" s="155">
        <v>949</v>
      </c>
      <c r="H18" s="32">
        <v>5685953</v>
      </c>
    </row>
    <row r="19" spans="1:8" x14ac:dyDescent="0.25">
      <c r="A19" s="17">
        <v>8</v>
      </c>
      <c r="B19" s="5">
        <v>5410233712222</v>
      </c>
      <c r="C19" s="10" t="str">
        <v>SITRON JUICE REALLEMON / LEMON JUICE REALLEMON 1L</v>
      </c>
      <c r="D19" s="8">
        <v>0</v>
      </c>
      <c r="E19" s="12" t="str">
        <v>STK/PCS</v>
      </c>
      <c r="F19" s="12">
        <v>6</v>
      </c>
      <c r="G19" s="155">
        <v>130</v>
      </c>
      <c r="H19" s="32">
        <v>5764220</v>
      </c>
    </row>
    <row r="20" spans="1:8" x14ac:dyDescent="0.25">
      <c r="A20" s="17">
        <v>9</v>
      </c>
      <c r="B20" s="5">
        <v>7394376619182</v>
      </c>
      <c r="C20" s="10" t="str">
        <v>OATLY HAVREMELK 1L / OATLY OATMILK 1L</v>
      </c>
      <c r="D20" s="8">
        <v>0</v>
      </c>
      <c r="E20" s="12" t="str">
        <v>STK/PCS</v>
      </c>
      <c r="F20" s="12">
        <v>6</v>
      </c>
      <c r="G20" s="155">
        <v>28.9</v>
      </c>
      <c r="H20" s="32">
        <v>5708250</v>
      </c>
    </row>
    <row r="21" spans="1:8" x14ac:dyDescent="0.25">
      <c r="A21" s="17">
        <v>10</v>
      </c>
      <c r="B21" s="5">
        <v>5411188115496</v>
      </c>
      <c r="C21" s="10" t="str">
        <v>SOYAMELK USØTET 1L / ALPRO SOY MILK UNSWEETEND 1L</v>
      </c>
      <c r="D21" s="8">
        <v>0</v>
      </c>
      <c r="E21" s="12" t="str">
        <v>STK/PCS</v>
      </c>
      <c r="F21" s="12">
        <v>12</v>
      </c>
      <c r="G21" s="155">
        <v>29.9</v>
      </c>
      <c r="H21" s="32">
        <v>2935922</v>
      </c>
    </row>
    <row r="22" spans="1:8" x14ac:dyDescent="0.25">
      <c r="A22" s="17">
        <v>11</v>
      </c>
      <c r="B22" s="5">
        <v>5411188110835</v>
      </c>
      <c r="C22" s="10" t="str">
        <v>ALPRO MANDELMELK 1L / ALPRO ALMOND MILK 1L</v>
      </c>
      <c r="D22" s="8">
        <v>0</v>
      </c>
      <c r="E22" s="12" t="str">
        <v>STK/PCS</v>
      </c>
      <c r="F22" s="12">
        <v>8</v>
      </c>
      <c r="G22" s="155">
        <v>40.9</v>
      </c>
      <c r="H22" s="32">
        <v>2753549</v>
      </c>
    </row>
    <row r="23" spans="1:8" x14ac:dyDescent="0.25">
      <c r="A23" s="17">
        <v>12</v>
      </c>
      <c r="B23" s="5">
        <v>9117</v>
      </c>
      <c r="C23" s="10" t="str">
        <v>COCA COLA BX STK / COCA COLA BX PCS</v>
      </c>
      <c r="D23" s="8">
        <v>0</v>
      </c>
      <c r="E23" s="12" t="str">
        <v>STK/PCS</v>
      </c>
      <c r="F23" s="12">
        <v>24</v>
      </c>
      <c r="G23" s="155">
        <v>9.9</v>
      </c>
      <c r="H23" s="32">
        <v>12114</v>
      </c>
    </row>
    <row r="24" spans="1:8" x14ac:dyDescent="0.25">
      <c r="A24" s="17">
        <v>13</v>
      </c>
      <c r="B24" s="5">
        <v>9130</v>
      </c>
      <c r="C24" s="10" t="str">
        <v>COCA COLA ZERO BX STK / COCA COLA ZERO BX PCS</v>
      </c>
      <c r="D24" s="8">
        <v>0</v>
      </c>
      <c r="E24" s="12" t="str">
        <v>STK/PCS</v>
      </c>
      <c r="F24" s="12">
        <v>24</v>
      </c>
      <c r="G24" s="155">
        <v>9.9</v>
      </c>
      <c r="H24" s="32">
        <v>15210</v>
      </c>
    </row>
    <row r="25" spans="1:8" x14ac:dyDescent="0.25">
      <c r="A25" s="17">
        <v>14</v>
      </c>
      <c r="B25" s="5">
        <v>9127</v>
      </c>
      <c r="C25" s="10" t="str">
        <v>FANTA BX / FANTA ORANGE BX</v>
      </c>
      <c r="D25" s="8">
        <v>0</v>
      </c>
      <c r="E25" s="12" t="str">
        <v>STK/PCS</v>
      </c>
      <c r="F25" s="12">
        <v>24</v>
      </c>
      <c r="G25" s="155">
        <v>9.9</v>
      </c>
      <c r="H25" s="32">
        <v>12116</v>
      </c>
    </row>
    <row r="26" spans="1:8" x14ac:dyDescent="0.25">
      <c r="A26" s="17">
        <v>15</v>
      </c>
      <c r="B26" s="5">
        <v>9112</v>
      </c>
      <c r="C26" s="10" t="str">
        <v>PEPSI MAX BX  / PEPSI MAX BX PCS</v>
      </c>
      <c r="D26" s="8">
        <v>0</v>
      </c>
      <c r="E26" s="12" t="str">
        <v>STK/PCS</v>
      </c>
      <c r="F26" s="12">
        <v>24</v>
      </c>
      <c r="G26" s="155">
        <v>9.9</v>
      </c>
      <c r="H26" s="32">
        <v>12110</v>
      </c>
    </row>
    <row r="27" spans="1:8" x14ac:dyDescent="0.25">
      <c r="A27" s="17">
        <v>16</v>
      </c>
      <c r="B27" s="5">
        <v>9108</v>
      </c>
      <c r="C27" s="10" t="str">
        <v>SPRITE BX / SPRITE  BX</v>
      </c>
      <c r="D27" s="8">
        <v>0</v>
      </c>
      <c r="E27" s="12" t="str">
        <v>STK/PCS</v>
      </c>
      <c r="F27" s="12">
        <v>24</v>
      </c>
      <c r="G27" s="155">
        <v>9.9</v>
      </c>
      <c r="H27" s="32">
        <v>17845</v>
      </c>
    </row>
    <row r="28" spans="1:8" x14ac:dyDescent="0.25">
      <c r="A28" s="170">
        <v>17</v>
      </c>
      <c r="B28" s="171">
        <v>9126</v>
      </c>
      <c r="C28" s="10" t="str">
        <v>COCA COLA LIGHT BX / DIET COKE BX</v>
      </c>
      <c r="D28" s="8">
        <v>0</v>
      </c>
      <c r="E28" s="12" t="str">
        <v>STK/PCS</v>
      </c>
      <c r="F28" s="12">
        <v>24</v>
      </c>
      <c r="G28" s="12">
        <v>9.9</v>
      </c>
      <c r="H28" s="32">
        <v>0</v>
      </c>
    </row>
    <row r="29" spans="1:8" x14ac:dyDescent="0.25">
      <c r="A29" s="170">
        <v>18</v>
      </c>
      <c r="B29" s="171">
        <v>5740700985300</v>
      </c>
      <c r="C29" s="10" t="str">
        <v>FANTA SITRON BX / FANTA LEMON BX</v>
      </c>
      <c r="D29" s="8">
        <v>0</v>
      </c>
      <c r="E29" s="12" t="str">
        <v>STK/PCS</v>
      </c>
      <c r="F29" s="12">
        <v>24</v>
      </c>
      <c r="G29" s="12">
        <v>9.9</v>
      </c>
      <c r="H29" s="32">
        <v>0</v>
      </c>
    </row>
    <row r="30" spans="1:8" x14ac:dyDescent="0.25">
      <c r="A30" s="170">
        <v>19</v>
      </c>
      <c r="B30" s="171">
        <v>5740700994654</v>
      </c>
      <c r="C30" s="10" t="str">
        <v>GINGER ALE BX / GINGER ALE BX</v>
      </c>
      <c r="D30" s="8">
        <v>0</v>
      </c>
      <c r="E30" s="12" t="str">
        <v>STK/PCS</v>
      </c>
      <c r="F30" s="12">
        <v>24</v>
      </c>
      <c r="G30" s="12">
        <v>9.9</v>
      </c>
      <c r="H30" s="32">
        <v>0</v>
      </c>
    </row>
    <row r="31" spans="1:8" x14ac:dyDescent="0.25">
      <c r="A31" s="170">
        <v>20</v>
      </c>
      <c r="B31" s="171">
        <v>9101</v>
      </c>
      <c r="C31" s="10" t="str">
        <v>TONIC BX / TONIC WATER BX</v>
      </c>
      <c r="D31" s="8">
        <v>0</v>
      </c>
      <c r="E31" s="12" t="str">
        <v>STK/PCS</v>
      </c>
      <c r="F31" s="12">
        <v>24</v>
      </c>
      <c r="G31" s="12">
        <v>9.9</v>
      </c>
      <c r="H31" s="32">
        <v>17707</v>
      </c>
    </row>
    <row r="32" spans="1:8" x14ac:dyDescent="0.25">
      <c r="A32" s="170">
        <v>21</v>
      </c>
      <c r="B32" s="171">
        <v>400210382020</v>
      </c>
      <c r="C32" s="10" t="str">
        <v>ERDINGER ALKOHOLFRI ØL 0,5L / ERDINGER ALCOHOLFREE BEER 0,5L</v>
      </c>
      <c r="D32" s="8">
        <v>0</v>
      </c>
      <c r="E32" s="12" t="str">
        <v>STK/PCS</v>
      </c>
      <c r="F32" s="12">
        <v>24</v>
      </c>
      <c r="G32" s="12">
        <v>14.5</v>
      </c>
      <c r="H32" s="32">
        <v>0</v>
      </c>
    </row>
    <row r="33" spans="1:8" x14ac:dyDescent="0.25">
      <c r="A33" s="170">
        <v>22</v>
      </c>
      <c r="B33" s="171">
        <v>7037120026835</v>
      </c>
      <c r="C33" s="10" t="str">
        <v>MACK ISBJØRN ALKOHOLFRI 0,33L / MACK ISBJORN ALCOHOLFREE 0,33L</v>
      </c>
      <c r="D33" s="8">
        <v>0</v>
      </c>
      <c r="E33" s="12" t="str">
        <v>STK/PCS</v>
      </c>
      <c r="F33" s="12">
        <v>24</v>
      </c>
      <c r="G33" s="12">
        <v>11.5</v>
      </c>
      <c r="H33" s="32">
        <v>0</v>
      </c>
    </row>
    <row r="34" spans="1:8" x14ac:dyDescent="0.25">
      <c r="A34" s="170">
        <v>23</v>
      </c>
      <c r="B34" s="171">
        <v>7023720012255</v>
      </c>
      <c r="C34" s="10" t="str">
        <v>VANN 1,5L / WATER 1,5L STILL</v>
      </c>
      <c r="D34" s="8">
        <v>0</v>
      </c>
      <c r="E34" s="12" t="str">
        <v>STK/PCS</v>
      </c>
      <c r="F34" s="12">
        <v>8</v>
      </c>
      <c r="G34" s="12">
        <v>12.9</v>
      </c>
      <c r="H34" s="32">
        <v>16595</v>
      </c>
    </row>
    <row r="35" spans="1:8" x14ac:dyDescent="0.25">
      <c r="A35" s="170">
        <v>24</v>
      </c>
      <c r="B35" s="171">
        <v>7026890019406</v>
      </c>
      <c r="C35" s="10" t="str">
        <v>VANN ISBRE 0,33L  / STILL WATER 0,33L</v>
      </c>
      <c r="D35" s="8">
        <v>0</v>
      </c>
      <c r="E35" s="12" t="str">
        <v>STK/PCS</v>
      </c>
      <c r="F35" s="12">
        <v>24</v>
      </c>
      <c r="G35" s="12">
        <v>9.9</v>
      </c>
      <c r="H35" s="32">
        <v>18147</v>
      </c>
    </row>
    <row r="36" spans="1:8" x14ac:dyDescent="0.25">
      <c r="A36" s="170">
        <v>25</v>
      </c>
      <c r="B36" s="171">
        <v>7090038270769</v>
      </c>
      <c r="C36" s="10" t="str">
        <v xml:space="preserve">VANN MED KULLSYRE  / WATER SPARKLING </v>
      </c>
      <c r="D36" s="8">
        <v>0</v>
      </c>
      <c r="E36" s="12" t="str">
        <v>STK/PCS</v>
      </c>
      <c r="F36" s="12">
        <v>24</v>
      </c>
      <c r="G36" s="12">
        <v>7.9</v>
      </c>
      <c r="H36" s="32">
        <v>0</v>
      </c>
    </row>
    <row r="37" spans="1:8" x14ac:dyDescent="0.25">
      <c r="A37" s="170">
        <v>26</v>
      </c>
      <c r="B37" s="171">
        <v>7090038270738</v>
      </c>
      <c r="C37" s="10" t="str">
        <v xml:space="preserve">VANN MED KULLSYRE SITRON BX / WATER SPARLING LEMON </v>
      </c>
      <c r="D37" s="8">
        <v>0</v>
      </c>
      <c r="E37" s="12" t="str">
        <v>STK/PCS</v>
      </c>
      <c r="F37" s="12">
        <v>24</v>
      </c>
      <c r="G37" s="12">
        <v>7.9</v>
      </c>
      <c r="H37" s="32">
        <v>0</v>
      </c>
    </row>
    <row r="38" spans="1:8" x14ac:dyDescent="0.25">
      <c r="A38" s="170">
        <v>27</v>
      </c>
      <c r="B38" s="171">
        <v>70118025</v>
      </c>
      <c r="C38" s="10" t="str">
        <v>VANN MED KULLSYRE ISKLAR 0,46L / WATER SPARKLING BTL 0,46L</v>
      </c>
      <c r="D38" s="8">
        <v>0</v>
      </c>
      <c r="E38" s="12" t="str">
        <v>STK/PCS</v>
      </c>
      <c r="F38" s="12">
        <v>12</v>
      </c>
      <c r="G38" s="12">
        <v>19.899999999999999</v>
      </c>
      <c r="H38" s="32">
        <v>0</v>
      </c>
    </row>
    <row r="39" spans="1:8" x14ac:dyDescent="0.25">
      <c r="A39" s="170">
        <v>28</v>
      </c>
      <c r="B39" s="171">
        <v>7025110160652</v>
      </c>
      <c r="C39" s="10" t="str">
        <v>VANN 5L STILLE / WATER 5L STILL</v>
      </c>
      <c r="D39" s="8">
        <v>0</v>
      </c>
      <c r="E39" s="12" t="str">
        <v>STK/PCS</v>
      </c>
      <c r="F39" s="12">
        <v>1</v>
      </c>
      <c r="G39" s="12">
        <v>29.9</v>
      </c>
      <c r="H39" s="32">
        <v>0</v>
      </c>
    </row>
    <row r="40" spans="1:8" x14ac:dyDescent="0.25">
      <c r="A40" s="170">
        <v>29</v>
      </c>
      <c r="B40" s="170">
        <v>0</v>
      </c>
      <c r="C40" s="10" t="str">
        <v>LEDIG</v>
      </c>
      <c r="D40" s="8">
        <v>0</v>
      </c>
      <c r="E40" s="10">
        <v>0</v>
      </c>
      <c r="F40" s="10">
        <v>0</v>
      </c>
      <c r="G40" s="10">
        <v>0</v>
      </c>
      <c r="H40" s="32">
        <v>0</v>
      </c>
    </row>
    <row r="41" spans="1:8" x14ac:dyDescent="0.25">
      <c r="A41" s="170">
        <v>30</v>
      </c>
      <c r="B41" s="170">
        <v>0</v>
      </c>
      <c r="C41" s="10" t="str">
        <v>LEDIG</v>
      </c>
      <c r="D41" s="8">
        <v>0</v>
      </c>
      <c r="E41" s="10">
        <v>0</v>
      </c>
      <c r="F41" s="10">
        <v>0</v>
      </c>
      <c r="G41" s="10">
        <v>0</v>
      </c>
      <c r="H41" s="32">
        <v>0</v>
      </c>
    </row>
    <row r="42" spans="1:8" x14ac:dyDescent="0.25">
      <c r="A42" s="170">
        <v>31</v>
      </c>
      <c r="B42" s="170">
        <v>0</v>
      </c>
      <c r="C42" s="10" t="str">
        <v>LEDIG</v>
      </c>
      <c r="D42" s="8">
        <v>0</v>
      </c>
      <c r="E42" s="10">
        <v>0</v>
      </c>
      <c r="F42" s="10">
        <v>0</v>
      </c>
      <c r="G42" s="10">
        <v>0</v>
      </c>
      <c r="H42" s="32">
        <v>0</v>
      </c>
    </row>
    <row r="43" spans="1:8" x14ac:dyDescent="0.25">
      <c r="A43" s="170">
        <v>32</v>
      </c>
      <c r="B43" s="170">
        <v>0</v>
      </c>
      <c r="C43" s="10" t="str">
        <v>LEDIG</v>
      </c>
      <c r="D43" s="8">
        <v>0</v>
      </c>
      <c r="E43" s="10">
        <v>0</v>
      </c>
      <c r="F43" s="10">
        <v>0</v>
      </c>
      <c r="G43" s="10">
        <v>0</v>
      </c>
      <c r="H43" s="32">
        <v>0</v>
      </c>
    </row>
    <row r="44" spans="1:8" x14ac:dyDescent="0.25">
      <c r="A44" s="170">
        <v>33</v>
      </c>
      <c r="B44" s="170">
        <v>0</v>
      </c>
      <c r="C44" s="10" t="str">
        <v>LEDIG</v>
      </c>
      <c r="D44" s="8">
        <v>0</v>
      </c>
      <c r="E44" s="10">
        <v>0</v>
      </c>
      <c r="F44" s="10">
        <v>0</v>
      </c>
      <c r="G44" s="10">
        <v>0</v>
      </c>
      <c r="H44" s="32">
        <v>0</v>
      </c>
    </row>
    <row r="45" spans="1:8" x14ac:dyDescent="0.25">
      <c r="H45" s="151"/>
    </row>
    <row r="46" spans="1:8" x14ac:dyDescent="0.25">
      <c r="H46" s="151"/>
    </row>
    <row r="47" spans="1:8" x14ac:dyDescent="0.25">
      <c r="H47" s="151"/>
    </row>
    <row r="48" spans="1:8" x14ac:dyDescent="0.25">
      <c r="H48" s="151"/>
    </row>
    <row r="49" spans="8:8" x14ac:dyDescent="0.25">
      <c r="H49" s="151"/>
    </row>
    <row r="50" spans="8:8" x14ac:dyDescent="0.25">
      <c r="H50" s="151"/>
    </row>
    <row r="51" spans="8:8" x14ac:dyDescent="0.25">
      <c r="H51" s="151"/>
    </row>
    <row r="52" spans="8:8" x14ac:dyDescent="0.25">
      <c r="H52" s="151"/>
    </row>
    <row r="53" spans="8:8" x14ac:dyDescent="0.25">
      <c r="H53" s="151"/>
    </row>
  </sheetData>
  <autoFilter ref="A11:H11" xr:uid="{F596AFF7-20CC-4776-8020-276A6988D072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69" fitToHeight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9C99-BCB1-4556-874E-D6B3FC47B469}">
  <sheetPr codeName="Ark9">
    <pageSetUpPr fitToPage="1"/>
  </sheetPr>
  <dimension ref="A1:J50"/>
  <sheetViews>
    <sheetView showZeros="0" topLeftCell="A7" zoomScale="80" zoomScaleNormal="80" workbookViewId="0">
      <selection activeCell="D12" sqref="D12"/>
    </sheetView>
  </sheetViews>
  <sheetFormatPr baseColWidth="10" defaultColWidth="11.42578125" defaultRowHeight="15" x14ac:dyDescent="0.25"/>
  <cols>
    <col min="1" max="1" width="11" bestFit="1" customWidth="1"/>
    <col min="2" max="2" width="29.5703125" customWidth="1"/>
    <col min="3" max="3" width="53.5703125" customWidth="1"/>
    <col min="4" max="4" width="19" customWidth="1"/>
    <col min="5" max="5" width="14.140625" bestFit="1" customWidth="1"/>
    <col min="6" max="6" width="13.42578125" bestFit="1" customWidth="1"/>
    <col min="7" max="7" width="8.85546875" bestFit="1" customWidth="1"/>
    <col min="8" max="8" width="22.42578125" customWidth="1"/>
    <col min="9" max="9" width="11" bestFit="1" customWidth="1"/>
  </cols>
  <sheetData>
    <row r="1" spans="1:10" ht="19.5" thickBot="1" x14ac:dyDescent="0.35">
      <c r="A1" s="6" t="e" cm="1" vm="1">
        <f t="array" aca="1" ref="A1" ca="1">'TOTAL ORDER'!B1:J10</f>
        <v>#VALUE!</v>
      </c>
      <c r="B1" s="6"/>
      <c r="C1" s="6"/>
      <c r="D1" s="6"/>
      <c r="E1" s="6"/>
      <c r="F1" s="6"/>
      <c r="G1" s="6"/>
      <c r="H1" s="6"/>
      <c r="I1" s="6"/>
    </row>
    <row r="2" spans="1:10" ht="19.5" thickBot="1" x14ac:dyDescent="0.35">
      <c r="A2" s="6"/>
      <c r="B2" s="46"/>
      <c r="C2" s="7"/>
      <c r="D2" s="48"/>
      <c r="E2" s="66"/>
      <c r="F2" s="67"/>
      <c r="G2" s="7"/>
      <c r="H2" s="46"/>
      <c r="I2" s="6"/>
    </row>
    <row r="3" spans="1:10" ht="19.5" thickBot="1" x14ac:dyDescent="0.35">
      <c r="A3" s="6"/>
      <c r="B3" s="63"/>
      <c r="C3" s="7"/>
      <c r="D3" s="44"/>
      <c r="E3" s="64"/>
      <c r="F3" s="65"/>
      <c r="G3" s="7"/>
      <c r="H3" s="63"/>
      <c r="I3" s="6"/>
    </row>
    <row r="4" spans="1:10" ht="19.5" thickBot="1" x14ac:dyDescent="0.35">
      <c r="A4" s="6"/>
      <c r="B4" s="7"/>
      <c r="C4" s="7"/>
      <c r="D4" s="7"/>
      <c r="E4" s="7"/>
      <c r="F4" s="7"/>
      <c r="G4" s="7"/>
      <c r="H4" s="7"/>
      <c r="I4" s="6"/>
    </row>
    <row r="5" spans="1:10" ht="18.75" x14ac:dyDescent="0.3">
      <c r="A5" s="6"/>
      <c r="B5" s="46"/>
      <c r="C5" s="7"/>
      <c r="D5" s="46"/>
      <c r="E5" s="7"/>
      <c r="F5" s="7"/>
      <c r="G5" s="7"/>
      <c r="H5" s="46"/>
      <c r="I5" s="6"/>
    </row>
    <row r="6" spans="1:10" ht="19.5" thickBot="1" x14ac:dyDescent="0.35">
      <c r="A6" s="6"/>
      <c r="B6" s="63"/>
      <c r="C6" s="7"/>
      <c r="D6" s="63"/>
      <c r="E6" s="7"/>
      <c r="F6" s="7"/>
      <c r="G6" s="7"/>
      <c r="H6" s="63"/>
      <c r="I6" s="6"/>
    </row>
    <row r="10" spans="1:10" ht="23.25" x14ac:dyDescent="0.35">
      <c r="A10" s="216" t="s">
        <v>393</v>
      </c>
      <c r="B10" s="216"/>
      <c r="C10" s="216"/>
      <c r="D10" s="216"/>
      <c r="E10" s="216"/>
      <c r="F10" s="216"/>
      <c r="G10" s="216"/>
      <c r="H10" s="16"/>
      <c r="I10" s="16"/>
      <c r="J10" s="16"/>
    </row>
    <row r="11" spans="1:10" ht="30" x14ac:dyDescent="0.25">
      <c r="A11" s="1" t="s">
        <v>6</v>
      </c>
      <c r="B11" s="1" t="s">
        <v>7</v>
      </c>
      <c r="C11" s="2" t="s">
        <v>8</v>
      </c>
      <c r="D11" s="2" t="s">
        <v>9</v>
      </c>
      <c r="E11" s="2" t="s">
        <v>10</v>
      </c>
      <c r="F11" s="3" t="s">
        <v>11</v>
      </c>
      <c r="G11" s="4" t="s">
        <v>12</v>
      </c>
      <c r="H11" s="153" t="s">
        <v>421</v>
      </c>
    </row>
    <row r="12" spans="1:10" x14ac:dyDescent="0.25">
      <c r="A12" s="18" cm="1">
        <f t="array" ref="A12:G44">Tabell23[[NUMMER]:[NOK]]</f>
        <v>1</v>
      </c>
      <c r="B12" s="19">
        <v>378801</v>
      </c>
      <c r="C12" s="11" t="str">
        <v>WHITE Les Champs d'Or Chardonnay</v>
      </c>
      <c r="D12" s="9">
        <v>0</v>
      </c>
      <c r="E12" s="13" t="str">
        <v>STK/PCS</v>
      </c>
      <c r="F12" s="13">
        <v>12</v>
      </c>
      <c r="G12" s="154">
        <v>75</v>
      </c>
      <c r="H12" s="32"/>
    </row>
    <row r="13" spans="1:10" x14ac:dyDescent="0.25">
      <c r="A13" s="17">
        <v>2</v>
      </c>
      <c r="B13" s="5">
        <v>2001501</v>
      </c>
      <c r="C13" s="10" t="str">
        <v>WHITE Brocard Saint Bris</v>
      </c>
      <c r="D13" s="8">
        <v>0</v>
      </c>
      <c r="E13" s="12" t="str">
        <v>STK/PCS</v>
      </c>
      <c r="F13" s="12">
        <v>12</v>
      </c>
      <c r="G13" s="155">
        <v>130</v>
      </c>
      <c r="H13" s="32"/>
    </row>
    <row r="14" spans="1:10" x14ac:dyDescent="0.25">
      <c r="A14" s="17">
        <v>3</v>
      </c>
      <c r="B14" s="5">
        <v>148361</v>
      </c>
      <c r="C14" s="10" t="str">
        <v>WHITE Mezzacorona Pinot Grigio</v>
      </c>
      <c r="D14" s="8">
        <v>0</v>
      </c>
      <c r="E14" s="12" t="str">
        <v>STK/PCS</v>
      </c>
      <c r="F14" s="12">
        <v>12</v>
      </c>
      <c r="G14" s="155">
        <v>120</v>
      </c>
      <c r="H14" s="32"/>
    </row>
    <row r="15" spans="1:10" x14ac:dyDescent="0.25">
      <c r="A15" s="17">
        <v>4</v>
      </c>
      <c r="B15" s="5">
        <v>127975</v>
      </c>
      <c r="C15" s="10" t="str">
        <v>WHITE Winter Riesling Trocken</v>
      </c>
      <c r="D15" s="8">
        <v>0</v>
      </c>
      <c r="E15" s="12" t="str">
        <v>STK/PCS</v>
      </c>
      <c r="F15" s="12">
        <v>6</v>
      </c>
      <c r="G15" s="155">
        <v>120</v>
      </c>
      <c r="H15" s="32"/>
    </row>
    <row r="16" spans="1:10" x14ac:dyDescent="0.25">
      <c r="A16" s="17">
        <v>5</v>
      </c>
      <c r="B16" s="5">
        <v>10130301</v>
      </c>
      <c r="C16" s="10" t="str">
        <v>ROSÈ Ultimate Provance Rose</v>
      </c>
      <c r="D16" s="8">
        <v>0</v>
      </c>
      <c r="E16" s="12" t="str">
        <v>STK/PCS</v>
      </c>
      <c r="F16" s="12">
        <v>12</v>
      </c>
      <c r="G16" s="155">
        <v>180</v>
      </c>
      <c r="H16" s="32"/>
    </row>
    <row r="17" spans="1:8" x14ac:dyDescent="0.25">
      <c r="A17" s="17">
        <v>6</v>
      </c>
      <c r="B17" s="5">
        <v>5500801</v>
      </c>
      <c r="C17" s="10" t="str">
        <v>SPARKLING Gancia Prosecco</v>
      </c>
      <c r="D17" s="8">
        <v>0</v>
      </c>
      <c r="E17" s="12" t="str">
        <v>STK/PCS</v>
      </c>
      <c r="F17" s="12">
        <v>6</v>
      </c>
      <c r="G17" s="155">
        <v>110</v>
      </c>
      <c r="H17" s="32"/>
    </row>
    <row r="18" spans="1:8" x14ac:dyDescent="0.25">
      <c r="A18" s="17">
        <v>7</v>
      </c>
      <c r="B18" s="5">
        <v>127256</v>
      </c>
      <c r="C18" s="10" t="str">
        <v>SPARKLING Delorme Cremant de Bourgogne</v>
      </c>
      <c r="D18" s="8">
        <v>0</v>
      </c>
      <c r="E18" s="12" t="str">
        <v>STK/PCS</v>
      </c>
      <c r="F18" s="12">
        <v>6</v>
      </c>
      <c r="G18" s="155">
        <v>169</v>
      </c>
      <c r="H18" s="32"/>
    </row>
    <row r="19" spans="1:8" x14ac:dyDescent="0.25">
      <c r="A19" s="17">
        <v>8</v>
      </c>
      <c r="B19" s="5">
        <v>125301</v>
      </c>
      <c r="C19" s="10" t="str">
        <v>CHAMPAGNE Bonnet Grand Reserve</v>
      </c>
      <c r="D19" s="8">
        <v>0</v>
      </c>
      <c r="E19" s="12" t="str">
        <v>STK/PCS</v>
      </c>
      <c r="F19" s="12">
        <v>12</v>
      </c>
      <c r="G19" s="155">
        <v>251</v>
      </c>
      <c r="H19" s="32"/>
    </row>
    <row r="20" spans="1:8" x14ac:dyDescent="0.25">
      <c r="A20" s="17">
        <v>10</v>
      </c>
      <c r="B20" s="5">
        <v>12590201</v>
      </c>
      <c r="C20" s="10" t="str">
        <v>RED El Esteco Malbec</v>
      </c>
      <c r="D20" s="8">
        <v>0</v>
      </c>
      <c r="E20" s="12" t="str">
        <v>STK/PCS</v>
      </c>
      <c r="F20" s="12">
        <v>6</v>
      </c>
      <c r="G20" s="155">
        <v>160</v>
      </c>
      <c r="H20" s="32"/>
    </row>
    <row r="21" spans="1:8" x14ac:dyDescent="0.25">
      <c r="A21" s="17">
        <v>11</v>
      </c>
      <c r="B21" s="5">
        <v>621801</v>
      </c>
      <c r="C21" s="10" t="str">
        <v>RED Tommasi Rafael Valpolicella Classico</v>
      </c>
      <c r="D21" s="8">
        <v>0</v>
      </c>
      <c r="E21" s="12" t="str">
        <v>STK/PCS</v>
      </c>
      <c r="F21" s="12">
        <v>12</v>
      </c>
      <c r="G21" s="155">
        <v>145</v>
      </c>
      <c r="H21" s="32"/>
    </row>
    <row r="22" spans="1:8" x14ac:dyDescent="0.25">
      <c r="A22" s="17">
        <v>12</v>
      </c>
      <c r="B22" s="5">
        <v>4176601</v>
      </c>
      <c r="C22" s="10" t="str">
        <v>RED Ch. Dudon 2016</v>
      </c>
      <c r="D22" s="8">
        <v>0</v>
      </c>
      <c r="E22" s="12" t="str">
        <v>STK/PCS</v>
      </c>
      <c r="F22" s="12">
        <v>12</v>
      </c>
      <c r="G22" s="155">
        <v>140</v>
      </c>
      <c r="H22" s="32"/>
    </row>
    <row r="23" spans="1:8" x14ac:dyDescent="0.25">
      <c r="A23" s="17">
        <v>13</v>
      </c>
      <c r="B23" s="5">
        <v>101901</v>
      </c>
      <c r="C23" s="10" t="str">
        <v>RED Concha y Toro Cabernet Sauvignon</v>
      </c>
      <c r="D23" s="8">
        <v>0</v>
      </c>
      <c r="E23" s="12" t="str">
        <v>STK/PCS</v>
      </c>
      <c r="F23" s="12">
        <v>12</v>
      </c>
      <c r="G23" s="155">
        <v>75</v>
      </c>
      <c r="H23" s="32"/>
    </row>
    <row r="24" spans="1:8" x14ac:dyDescent="0.25">
      <c r="A24" s="17">
        <v>14</v>
      </c>
      <c r="B24" s="5">
        <v>1954313</v>
      </c>
      <c r="C24" s="10" t="str">
        <v>LIQ Absolut Vodka 1 liter</v>
      </c>
      <c r="D24" s="8">
        <v>0</v>
      </c>
      <c r="E24" s="12" t="str">
        <v>STK/PCS</v>
      </c>
      <c r="F24" s="12">
        <v>12</v>
      </c>
      <c r="G24" s="155">
        <v>210</v>
      </c>
      <c r="H24" s="32"/>
    </row>
    <row r="25" spans="1:8" x14ac:dyDescent="0.25">
      <c r="A25" s="17">
        <v>15</v>
      </c>
      <c r="B25" s="5">
        <v>4184001</v>
      </c>
      <c r="C25" s="10" t="str">
        <v>LIQ Beefeater Gin 1 liter</v>
      </c>
      <c r="D25" s="8">
        <v>0</v>
      </c>
      <c r="E25" s="12" t="str">
        <v>STK/PCS</v>
      </c>
      <c r="F25" s="12">
        <v>12</v>
      </c>
      <c r="G25" s="155">
        <v>210</v>
      </c>
      <c r="H25" s="32"/>
    </row>
    <row r="26" spans="1:8" x14ac:dyDescent="0.25">
      <c r="A26" s="17">
        <v>16</v>
      </c>
      <c r="B26" s="5">
        <v>1940023</v>
      </c>
      <c r="C26" s="10" t="str">
        <v>LIQ Havana Club 3 años 1 liter</v>
      </c>
      <c r="D26" s="8">
        <v>0</v>
      </c>
      <c r="E26" s="12" t="str">
        <v>STK/PCS</v>
      </c>
      <c r="F26" s="12">
        <v>6</v>
      </c>
      <c r="G26" s="155">
        <v>225</v>
      </c>
      <c r="H26" s="32"/>
    </row>
    <row r="27" spans="1:8" x14ac:dyDescent="0.25">
      <c r="A27" s="17">
        <v>17</v>
      </c>
      <c r="B27" s="5">
        <v>9034548</v>
      </c>
      <c r="C27" s="10" t="str">
        <v>LIQ Jameson 1 liter</v>
      </c>
      <c r="D27" s="8">
        <v>0</v>
      </c>
      <c r="E27" s="12" t="str">
        <v>STK/PCS</v>
      </c>
      <c r="F27" s="12">
        <v>6</v>
      </c>
      <c r="G27" s="155">
        <v>350</v>
      </c>
      <c r="H27" s="32"/>
    </row>
    <row r="28" spans="1:8" x14ac:dyDescent="0.25">
      <c r="A28" s="17">
        <v>18</v>
      </c>
      <c r="B28" s="5">
        <v>1900131</v>
      </c>
      <c r="C28" s="10" t="str">
        <v>LIQ Jack Daniels 1 liter</v>
      </c>
      <c r="D28" s="8">
        <v>0</v>
      </c>
      <c r="E28" s="12" t="str">
        <v>STK/PCS</v>
      </c>
      <c r="F28" s="12">
        <v>12</v>
      </c>
      <c r="G28" s="155">
        <v>285</v>
      </c>
      <c r="H28" s="32"/>
    </row>
    <row r="29" spans="1:8" x14ac:dyDescent="0.25">
      <c r="A29" s="17">
        <v>19</v>
      </c>
      <c r="B29" s="5">
        <v>8142501</v>
      </c>
      <c r="C29" s="10" t="str">
        <v>LIQ De Luze VSOP Special Tribute 1 liter</v>
      </c>
      <c r="D29" s="8">
        <v>0</v>
      </c>
      <c r="E29" s="12" t="str">
        <v>STK/PCS</v>
      </c>
      <c r="F29" s="12">
        <v>6</v>
      </c>
      <c r="G29" s="155">
        <v>345</v>
      </c>
      <c r="H29" s="32"/>
    </row>
    <row r="30" spans="1:8" x14ac:dyDescent="0.25">
      <c r="A30" s="17">
        <v>20</v>
      </c>
      <c r="B30" s="5">
        <v>0</v>
      </c>
      <c r="C30" s="10" t="str">
        <v>LIQ SVALBARD XO 1L COGNAC</v>
      </c>
      <c r="D30" s="8">
        <v>0</v>
      </c>
      <c r="E30" s="12" t="str">
        <v>STK/PCS</v>
      </c>
      <c r="F30" s="12">
        <v>6</v>
      </c>
      <c r="G30" s="155">
        <v>580</v>
      </c>
      <c r="H30" s="32"/>
    </row>
    <row r="31" spans="1:8" x14ac:dyDescent="0.25">
      <c r="A31" s="17">
        <v>21</v>
      </c>
      <c r="B31" s="5">
        <v>0</v>
      </c>
      <c r="C31" s="10" t="str">
        <v>LIQ SVALBARD VSOP 1L COGNAC</v>
      </c>
      <c r="D31" s="8">
        <v>0</v>
      </c>
      <c r="E31" s="12" t="str">
        <v>STK/PCS</v>
      </c>
      <c r="F31" s="12">
        <v>6</v>
      </c>
      <c r="G31" s="155">
        <v>395</v>
      </c>
      <c r="H31" s="32"/>
    </row>
    <row r="32" spans="1:8" x14ac:dyDescent="0.25">
      <c r="A32" s="17">
        <v>22</v>
      </c>
      <c r="B32" s="5">
        <v>0</v>
      </c>
      <c r="C32" s="10" t="str">
        <v>LIQ SVALBARD AQUAVIT 1L</v>
      </c>
      <c r="D32" s="8">
        <v>0</v>
      </c>
      <c r="E32" s="12" t="str">
        <v>STK/PCS</v>
      </c>
      <c r="F32" s="12">
        <v>6</v>
      </c>
      <c r="G32" s="155">
        <v>395</v>
      </c>
      <c r="H32" s="32"/>
    </row>
    <row r="33" spans="1:8" x14ac:dyDescent="0.25">
      <c r="A33" s="17">
        <v>24</v>
      </c>
      <c r="B33" s="5">
        <v>11102</v>
      </c>
      <c r="C33" s="10" t="str">
        <v>BEER SPITSBERGEN BLONDE 0,33BX</v>
      </c>
      <c r="D33" s="8">
        <v>0</v>
      </c>
      <c r="E33" s="12" t="str">
        <v>STK/PCS</v>
      </c>
      <c r="F33" s="12">
        <v>24</v>
      </c>
      <c r="G33" s="155">
        <v>30</v>
      </c>
      <c r="H33" s="32"/>
    </row>
    <row r="34" spans="1:8" x14ac:dyDescent="0.25">
      <c r="A34" s="17">
        <v>26</v>
      </c>
      <c r="B34" s="5">
        <v>11062</v>
      </c>
      <c r="C34" s="10" t="str">
        <v>BEER SPITSBERGEN IPA 0,33BX</v>
      </c>
      <c r="D34" s="8">
        <v>0</v>
      </c>
      <c r="E34" s="12" t="str">
        <v>STK/PCS</v>
      </c>
      <c r="F34" s="12">
        <v>24</v>
      </c>
      <c r="G34" s="155">
        <v>30</v>
      </c>
      <c r="H34" s="32"/>
    </row>
    <row r="35" spans="1:8" x14ac:dyDescent="0.25">
      <c r="A35" s="17">
        <v>28</v>
      </c>
      <c r="B35" s="5">
        <v>11032</v>
      </c>
      <c r="C35" s="10" t="str">
        <v>BEER SPITSBERGEN PALE ALE 0,33BX</v>
      </c>
      <c r="D35" s="8">
        <v>0</v>
      </c>
      <c r="E35" s="12" t="str">
        <v>STK/PCS</v>
      </c>
      <c r="F35" s="12">
        <v>24</v>
      </c>
      <c r="G35" s="155">
        <v>25</v>
      </c>
      <c r="H35" s="32"/>
    </row>
    <row r="36" spans="1:8" x14ac:dyDescent="0.25">
      <c r="A36" s="17">
        <v>29</v>
      </c>
      <c r="B36" s="5">
        <v>11002</v>
      </c>
      <c r="C36" s="10" t="str">
        <v>BEER SPITSBERGEN PILSNER 0,33BX</v>
      </c>
      <c r="D36" s="8">
        <v>0</v>
      </c>
      <c r="E36" s="12" t="str">
        <v>STK/PCS</v>
      </c>
      <c r="F36" s="12">
        <v>24</v>
      </c>
      <c r="G36" s="155">
        <v>25</v>
      </c>
      <c r="H36" s="32"/>
    </row>
    <row r="37" spans="1:8" x14ac:dyDescent="0.25">
      <c r="A37" s="17">
        <v>32</v>
      </c>
      <c r="B37" s="5">
        <v>11113</v>
      </c>
      <c r="C37" s="10" t="str">
        <v>BEER SPITSBERGEN WEISSBIER 0,33BX</v>
      </c>
      <c r="D37" s="8">
        <v>0</v>
      </c>
      <c r="E37" s="12" t="str">
        <v>STK/PCS</v>
      </c>
      <c r="F37" s="12">
        <v>24</v>
      </c>
      <c r="G37" s="155">
        <v>25</v>
      </c>
      <c r="H37" s="32"/>
    </row>
    <row r="38" spans="1:8" x14ac:dyDescent="0.25">
      <c r="A38" s="17">
        <v>35</v>
      </c>
      <c r="B38" s="5">
        <v>23790</v>
      </c>
      <c r="C38" s="10" t="str">
        <v>BEER CARLSBERG 0,33L</v>
      </c>
      <c r="D38" s="8">
        <v>0</v>
      </c>
      <c r="E38" s="12" t="str">
        <v>STK/PCS</v>
      </c>
      <c r="F38" s="12">
        <v>24</v>
      </c>
      <c r="G38" s="155">
        <v>15</v>
      </c>
      <c r="H38" s="32"/>
    </row>
    <row r="39" spans="1:8" x14ac:dyDescent="0.25">
      <c r="A39" s="17">
        <v>36</v>
      </c>
      <c r="B39" s="5">
        <v>11107</v>
      </c>
      <c r="C39" s="10" t="str">
        <v>BEER MACK ISBJØRN 0,33</v>
      </c>
      <c r="D39" s="8">
        <v>0</v>
      </c>
      <c r="E39" s="12" t="str">
        <v>STK/PCS</v>
      </c>
      <c r="F39" s="12">
        <v>24</v>
      </c>
      <c r="G39" s="155">
        <v>15</v>
      </c>
      <c r="H39" s="32"/>
    </row>
    <row r="40" spans="1:8" x14ac:dyDescent="0.25">
      <c r="A40" s="17">
        <v>37</v>
      </c>
      <c r="B40" s="5">
        <v>0</v>
      </c>
      <c r="C40" s="10" t="str">
        <v>LEDIG</v>
      </c>
      <c r="D40" s="8">
        <v>0</v>
      </c>
      <c r="E40" s="12">
        <v>0</v>
      </c>
      <c r="F40" s="12">
        <v>0</v>
      </c>
      <c r="G40" s="155">
        <v>0</v>
      </c>
      <c r="H40" s="32"/>
    </row>
    <row r="41" spans="1:8" x14ac:dyDescent="0.25">
      <c r="A41" s="17">
        <v>38</v>
      </c>
      <c r="B41" s="5">
        <v>0</v>
      </c>
      <c r="C41" s="10" t="str">
        <v>LEDIG</v>
      </c>
      <c r="D41" s="8">
        <v>0</v>
      </c>
      <c r="E41" s="12">
        <v>0</v>
      </c>
      <c r="F41" s="12">
        <v>0</v>
      </c>
      <c r="G41" s="155">
        <v>0</v>
      </c>
      <c r="H41" s="32"/>
    </row>
    <row r="42" spans="1:8" x14ac:dyDescent="0.25">
      <c r="A42" s="17">
        <v>39</v>
      </c>
      <c r="B42" s="5">
        <v>0</v>
      </c>
      <c r="C42" s="10" t="str">
        <v>LEDIG</v>
      </c>
      <c r="D42" s="8">
        <v>0</v>
      </c>
      <c r="E42" s="12">
        <v>0</v>
      </c>
      <c r="F42" s="12">
        <v>0</v>
      </c>
      <c r="G42" s="155">
        <v>0</v>
      </c>
      <c r="H42" s="32"/>
    </row>
    <row r="43" spans="1:8" x14ac:dyDescent="0.25">
      <c r="A43" s="17">
        <v>40</v>
      </c>
      <c r="B43" s="5">
        <v>0</v>
      </c>
      <c r="C43" s="10" t="str">
        <v>LEDIG</v>
      </c>
      <c r="D43" s="8">
        <v>0</v>
      </c>
      <c r="E43" s="12">
        <v>0</v>
      </c>
      <c r="F43" s="12">
        <v>0</v>
      </c>
      <c r="G43" s="155">
        <v>0</v>
      </c>
      <c r="H43" s="32"/>
    </row>
    <row r="44" spans="1:8" x14ac:dyDescent="0.25">
      <c r="A44" s="17">
        <v>41</v>
      </c>
      <c r="B44" s="5">
        <v>0</v>
      </c>
      <c r="C44" s="10" t="str">
        <v>LEDIG</v>
      </c>
      <c r="D44" s="8">
        <v>0</v>
      </c>
      <c r="E44" s="12">
        <v>0</v>
      </c>
      <c r="F44" s="12">
        <v>0</v>
      </c>
      <c r="G44" s="155">
        <v>0</v>
      </c>
      <c r="H44" s="32"/>
    </row>
    <row r="45" spans="1:8" x14ac:dyDescent="0.25">
      <c r="A45" s="17"/>
      <c r="B45" s="5"/>
      <c r="C45" s="10"/>
      <c r="D45" s="8"/>
      <c r="E45" s="12"/>
      <c r="F45" s="12"/>
      <c r="G45" s="155"/>
      <c r="H45" s="32"/>
    </row>
    <row r="46" spans="1:8" x14ac:dyDescent="0.25">
      <c r="A46" s="17"/>
      <c r="B46" s="5"/>
      <c r="C46" s="10"/>
      <c r="D46" s="8"/>
      <c r="E46" s="12"/>
      <c r="F46" s="12"/>
      <c r="G46" s="155"/>
      <c r="H46" s="32"/>
    </row>
    <row r="47" spans="1:8" x14ac:dyDescent="0.25">
      <c r="A47" s="17"/>
      <c r="B47" s="5"/>
      <c r="C47" s="10"/>
      <c r="D47" s="8"/>
      <c r="E47" s="12"/>
      <c r="F47" s="12"/>
      <c r="G47" s="155"/>
      <c r="H47" s="32"/>
    </row>
    <row r="48" spans="1:8" x14ac:dyDescent="0.25">
      <c r="A48" s="17"/>
      <c r="B48" s="5"/>
      <c r="C48" s="10"/>
      <c r="D48" s="8"/>
      <c r="E48" s="12"/>
      <c r="F48" s="12"/>
      <c r="G48" s="155"/>
      <c r="H48" s="32"/>
    </row>
    <row r="49" spans="1:8" x14ac:dyDescent="0.25">
      <c r="A49" s="17"/>
      <c r="B49" s="5"/>
      <c r="C49" s="10"/>
      <c r="D49" s="8"/>
      <c r="E49" s="12"/>
      <c r="F49" s="12"/>
      <c r="G49" s="155"/>
      <c r="H49" s="32"/>
    </row>
    <row r="50" spans="1:8" x14ac:dyDescent="0.25">
      <c r="A50" s="170"/>
      <c r="B50" s="170"/>
      <c r="C50" s="10"/>
      <c r="D50" s="8"/>
      <c r="E50" s="10"/>
      <c r="F50" s="10"/>
      <c r="G50" s="10"/>
      <c r="H50" s="22"/>
    </row>
  </sheetData>
  <autoFilter ref="A11:H11" xr:uid="{55589C99-BCB1-4556-874E-D6B3FC47B469}"/>
  <mergeCells count="1">
    <mergeCell ref="A10:G10"/>
  </mergeCells>
  <pageMargins left="0.70866141732283472" right="0.70866141732283472" top="0.74803149606299213" bottom="0.74803149606299213" header="0.31496062992125984" footer="0.31496062992125984"/>
  <pageSetup paperSize="9" scale="71" fitToHeight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A79F-38F0-49CB-8BFF-454F3552950D}">
  <sheetPr codeName="Ark10">
    <pageSetUpPr fitToPage="1"/>
  </sheetPr>
  <dimension ref="A1:I523"/>
  <sheetViews>
    <sheetView topLeftCell="A17" zoomScale="80" zoomScaleNormal="80" workbookViewId="0">
      <selection activeCell="D12" sqref="D12"/>
    </sheetView>
  </sheetViews>
  <sheetFormatPr baseColWidth="10" defaultColWidth="11.42578125" defaultRowHeight="15" x14ac:dyDescent="0.25"/>
  <cols>
    <col min="1" max="1" width="14.85546875" customWidth="1"/>
    <col min="2" max="2" width="64.42578125" customWidth="1"/>
    <col min="3" max="3" width="16.28515625" customWidth="1"/>
    <col min="4" max="4" width="17.85546875" customWidth="1"/>
    <col min="5" max="5" width="14.140625" bestFit="1" customWidth="1"/>
    <col min="6" max="6" width="13.42578125" bestFit="1" customWidth="1"/>
    <col min="7" max="7" width="5.85546875" bestFit="1" customWidth="1"/>
    <col min="8" max="8" width="17.7109375" customWidth="1"/>
    <col min="9" max="9" width="11" bestFit="1" customWidth="1"/>
  </cols>
  <sheetData>
    <row r="1" spans="1:9" ht="19.5" thickBot="1" x14ac:dyDescent="0.35">
      <c r="A1" s="41" t="e" cm="1" vm="2">
        <f t="array" aca="1" ref="A1" ca="1">'TOTAL ORDER'!B1:J10</f>
        <v>#VALUE!</v>
      </c>
      <c r="B1" s="41"/>
      <c r="C1" s="41"/>
      <c r="D1" s="41"/>
      <c r="E1" s="41"/>
      <c r="F1" s="41"/>
      <c r="G1" s="41"/>
      <c r="H1" s="41"/>
      <c r="I1" s="41"/>
    </row>
    <row r="2" spans="1:9" ht="19.5" thickBot="1" x14ac:dyDescent="0.35">
      <c r="A2" s="41"/>
      <c r="B2" s="46"/>
      <c r="C2" s="42"/>
      <c r="D2" s="48"/>
      <c r="E2" s="49"/>
      <c r="F2" s="50"/>
      <c r="G2" s="42"/>
      <c r="H2" s="46"/>
      <c r="I2" s="41"/>
    </row>
    <row r="3" spans="1:9" ht="19.5" thickBot="1" x14ac:dyDescent="0.35">
      <c r="A3" s="41"/>
      <c r="B3" s="43"/>
      <c r="C3" s="42"/>
      <c r="D3" s="44"/>
      <c r="E3" s="47"/>
      <c r="F3" s="45"/>
      <c r="G3" s="42"/>
      <c r="H3" s="43"/>
      <c r="I3" s="41"/>
    </row>
    <row r="4" spans="1:9" ht="19.5" thickBot="1" x14ac:dyDescent="0.35">
      <c r="A4" s="41"/>
      <c r="B4" s="42"/>
      <c r="C4" s="42"/>
      <c r="D4" s="42"/>
      <c r="E4" s="42"/>
      <c r="F4" s="42"/>
      <c r="G4" s="42"/>
      <c r="H4" s="42"/>
      <c r="I4" s="41"/>
    </row>
    <row r="5" spans="1:9" ht="18.75" x14ac:dyDescent="0.3">
      <c r="A5" s="41"/>
      <c r="B5" s="46"/>
      <c r="C5" s="42"/>
      <c r="D5" s="46"/>
      <c r="E5" s="42"/>
      <c r="F5" s="42"/>
      <c r="G5" s="42"/>
      <c r="H5" s="46"/>
      <c r="I5" s="41"/>
    </row>
    <row r="6" spans="1:9" ht="19.5" thickBot="1" x14ac:dyDescent="0.35">
      <c r="A6" s="41"/>
      <c r="B6" s="43"/>
      <c r="C6" s="42"/>
      <c r="D6" s="43"/>
      <c r="E6" s="42"/>
      <c r="F6" s="42"/>
      <c r="G6" s="42"/>
      <c r="H6" s="43"/>
      <c r="I6" s="41"/>
    </row>
    <row r="10" spans="1:9" x14ac:dyDescent="0.25">
      <c r="A10" s="20" t="s">
        <v>7</v>
      </c>
      <c r="B10" s="20" t="s">
        <v>422</v>
      </c>
      <c r="C10" s="20" t="s">
        <v>423</v>
      </c>
      <c r="D10" s="20" t="s">
        <v>424</v>
      </c>
      <c r="E10" s="20" t="s">
        <v>425</v>
      </c>
    </row>
    <row r="11" spans="1:9" x14ac:dyDescent="0.25">
      <c r="A11" s="53" cm="1">
        <f t="array" ref="A11:D51">Tabell15[[EAN]:[STK/PCS/KG]]</f>
        <v>5299</v>
      </c>
      <c r="B11" s="21" t="str">
        <v>ANANAS STK / PINEAPPLE PCS</v>
      </c>
      <c r="C11" s="31">
        <v>0</v>
      </c>
      <c r="D11" s="31" t="str">
        <v>STK/PCS</v>
      </c>
      <c r="E11" s="170" cm="1">
        <f t="array" ref="E11:E51">Tabell15[V.NR KRAEMER]</f>
        <v>11887227</v>
      </c>
    </row>
    <row r="12" spans="1:9" x14ac:dyDescent="0.25">
      <c r="A12" s="53">
        <v>5712</v>
      </c>
      <c r="B12" s="21" t="str">
        <v>APPELSIN KG / ORANGE KG</v>
      </c>
      <c r="C12" s="31">
        <v>0</v>
      </c>
      <c r="D12" s="31" t="str">
        <v>KG</v>
      </c>
      <c r="E12" s="170">
        <v>11000787</v>
      </c>
    </row>
    <row r="13" spans="1:9" x14ac:dyDescent="0.25">
      <c r="A13" s="53">
        <v>2000548400000</v>
      </c>
      <c r="B13" s="21" t="str">
        <v>AVOKADO MODNET 2PK / AVOCADO MATURE 2PCS</v>
      </c>
      <c r="C13" s="31">
        <v>0</v>
      </c>
      <c r="D13" s="31" t="str">
        <v>STK/PCS</v>
      </c>
      <c r="E13" s="170">
        <v>0</v>
      </c>
    </row>
    <row r="14" spans="1:9" x14ac:dyDescent="0.25">
      <c r="A14" s="53">
        <v>5292</v>
      </c>
      <c r="B14" s="21" t="str">
        <v>AVOKADO STOR STK / AVOCADO LARGE PCS</v>
      </c>
      <c r="C14" s="31">
        <v>0</v>
      </c>
      <c r="D14" s="31" t="str">
        <v>STK/PCS</v>
      </c>
      <c r="E14" s="170">
        <v>11000789</v>
      </c>
    </row>
    <row r="15" spans="1:9" x14ac:dyDescent="0.25">
      <c r="A15" s="53">
        <v>2000549700000</v>
      </c>
      <c r="B15" s="21" t="str">
        <v>AVOKADO 800G NETT / AVOCADO BAG 800G</v>
      </c>
      <c r="C15" s="31">
        <v>0</v>
      </c>
      <c r="D15" s="31" t="str">
        <v>STK/PCS</v>
      </c>
      <c r="E15" s="170">
        <v>13787943</v>
      </c>
    </row>
    <row r="16" spans="1:9" x14ac:dyDescent="0.25">
      <c r="A16" s="53">
        <v>5730</v>
      </c>
      <c r="B16" s="21" t="str">
        <v>BANAN KG /BANANA KG</v>
      </c>
      <c r="C16" s="31">
        <v>0</v>
      </c>
      <c r="D16" s="31" t="str">
        <v>KG</v>
      </c>
      <c r="E16" s="170">
        <v>13816448</v>
      </c>
    </row>
    <row r="17" spans="1:5" x14ac:dyDescent="0.25">
      <c r="A17" s="53">
        <v>6730</v>
      </c>
      <c r="B17" s="21" t="str">
        <v>BANAN ØKOLOGISK KG / BANANA ORGANIC KG</v>
      </c>
      <c r="C17" s="31">
        <v>0</v>
      </c>
      <c r="D17" s="31" t="str">
        <v>KG</v>
      </c>
      <c r="E17" s="170">
        <v>0</v>
      </c>
    </row>
    <row r="18" spans="1:5" x14ac:dyDescent="0.25">
      <c r="A18" s="53">
        <v>2000526900000</v>
      </c>
      <c r="B18" s="21" t="str">
        <v>BÆR BJØRNEBÆR 125G  / BLACKBERRY 125G</v>
      </c>
      <c r="C18" s="31">
        <v>0</v>
      </c>
      <c r="D18" s="31" t="str">
        <v>STK/PCS</v>
      </c>
      <c r="E18" s="170">
        <v>12049398</v>
      </c>
    </row>
    <row r="19" spans="1:5" x14ac:dyDescent="0.25">
      <c r="A19" s="53">
        <v>2000534600000</v>
      </c>
      <c r="B19" s="21" t="str">
        <v>BÆR BLÅBÆR 225G / BLUEBERRY 225G</v>
      </c>
      <c r="C19" s="31">
        <v>0</v>
      </c>
      <c r="D19" s="31" t="str">
        <v>STK/PCS</v>
      </c>
      <c r="E19" s="170">
        <v>0</v>
      </c>
    </row>
    <row r="20" spans="1:5" x14ac:dyDescent="0.25">
      <c r="A20" s="53">
        <v>2000583800000</v>
      </c>
      <c r="B20" s="21" t="str">
        <v>BÆR BRINGEBÆR 125G / RASBERRY 125G</v>
      </c>
      <c r="C20" s="31">
        <v>0</v>
      </c>
      <c r="D20" s="31" t="str">
        <v>STK/PCS</v>
      </c>
      <c r="E20" s="170">
        <v>11000862</v>
      </c>
    </row>
    <row r="21" spans="1:5" x14ac:dyDescent="0.25">
      <c r="A21" s="53">
        <v>2000583600000</v>
      </c>
      <c r="B21" s="21" t="str">
        <v>BÆR PHYSALIS 125G / PHYSALIS 125G</v>
      </c>
      <c r="C21" s="31">
        <v>0</v>
      </c>
      <c r="D21" s="31" t="str">
        <v>STK/PCS</v>
      </c>
      <c r="E21" s="170">
        <v>0</v>
      </c>
    </row>
    <row r="22" spans="1:5" x14ac:dyDescent="0.25">
      <c r="A22" s="53">
        <v>2000534900000</v>
      </c>
      <c r="B22" s="21" t="str">
        <v>BÆR RIPS 125G /RED CURRANT 125G</v>
      </c>
      <c r="C22" s="31">
        <v>0</v>
      </c>
      <c r="D22" s="31" t="str">
        <v>STK/PCS</v>
      </c>
      <c r="E22" s="170">
        <v>12395911</v>
      </c>
    </row>
    <row r="23" spans="1:5" x14ac:dyDescent="0.25">
      <c r="A23" s="53">
        <v>2000582000000</v>
      </c>
      <c r="B23" s="21" t="str">
        <v>BÆR JORDBÆR 500G / STRAWBERRY 500G</v>
      </c>
      <c r="C23" s="31">
        <v>0</v>
      </c>
      <c r="D23" s="31" t="str">
        <v>STK/PCS</v>
      </c>
      <c r="E23" s="170">
        <v>11000864</v>
      </c>
    </row>
    <row r="24" spans="1:5" x14ac:dyDescent="0.25">
      <c r="A24" s="53">
        <v>5706779036923</v>
      </c>
      <c r="B24" s="21" t="str">
        <v>DADLER 600G STK / DATES 600G PCS</v>
      </c>
      <c r="C24" s="31">
        <v>0</v>
      </c>
      <c r="D24" s="31" t="str">
        <v>STK/PCS</v>
      </c>
      <c r="E24" s="170">
        <v>0</v>
      </c>
    </row>
    <row r="25" spans="1:5" x14ac:dyDescent="0.25">
      <c r="A25" s="53">
        <v>2000511000000</v>
      </c>
      <c r="B25" s="21" t="str">
        <v>DRUE FARGET STFR 500G / RED GRAPES 500G</v>
      </c>
      <c r="C25" s="31">
        <v>0</v>
      </c>
      <c r="D25" s="31" t="str">
        <v>STK/PCS</v>
      </c>
      <c r="E25" s="170">
        <v>12052214</v>
      </c>
    </row>
    <row r="26" spans="1:5" x14ac:dyDescent="0.25">
      <c r="A26" s="53">
        <v>2000574500000</v>
      </c>
      <c r="B26" s="21" t="str">
        <v>DRUE GRØNN STFR 500G / GREEN GRAPES 500G</v>
      </c>
      <c r="C26" s="31">
        <v>0</v>
      </c>
      <c r="D26" s="31" t="str">
        <v>STK/PCS</v>
      </c>
      <c r="E26" s="170">
        <v>12220609</v>
      </c>
    </row>
    <row r="27" spans="1:5" x14ac:dyDescent="0.25">
      <c r="A27" s="53">
        <v>2000525800000</v>
      </c>
      <c r="B27" s="21" t="str">
        <v>EPLE PINK LADY 6STK /APPLE PINK LADY 6PCS</v>
      </c>
      <c r="C27" s="31">
        <v>0</v>
      </c>
      <c r="D27" s="31" t="str">
        <v>STK/PCS</v>
      </c>
      <c r="E27" s="170">
        <v>0</v>
      </c>
    </row>
    <row r="28" spans="1:5" x14ac:dyDescent="0.25">
      <c r="A28" s="53">
        <v>5762</v>
      </c>
      <c r="B28" s="21" t="str">
        <v>EPLE RØD KG / APPLE RED KG</v>
      </c>
      <c r="C28" s="31">
        <v>0</v>
      </c>
      <c r="D28" s="31" t="str">
        <v>KG</v>
      </c>
      <c r="E28" s="170">
        <v>11000904</v>
      </c>
    </row>
    <row r="29" spans="1:5" x14ac:dyDescent="0.25">
      <c r="A29" s="53">
        <v>5766</v>
      </c>
      <c r="B29" s="21" t="str">
        <v>EPLE GRØNNE KG / APPLE GREEN KG</v>
      </c>
      <c r="C29" s="31">
        <v>0</v>
      </c>
      <c r="D29" s="31" t="str">
        <v>KG</v>
      </c>
      <c r="E29" s="170">
        <v>11000906</v>
      </c>
    </row>
    <row r="30" spans="1:5" x14ac:dyDescent="0.25">
      <c r="A30" s="53">
        <v>5764</v>
      </c>
      <c r="B30" s="21" t="str">
        <v>EPLE GULE KG / APPLE YELLOW KG</v>
      </c>
      <c r="C30" s="31">
        <v>0</v>
      </c>
      <c r="D30" s="31" t="str">
        <v>KG</v>
      </c>
      <c r="E30" s="170">
        <v>0</v>
      </c>
    </row>
    <row r="31" spans="1:5" x14ac:dyDescent="0.25">
      <c r="A31" s="53">
        <v>2000509700000</v>
      </c>
      <c r="B31" s="21" t="str">
        <v>FIKEN 3STK / FIGGS 3PCS</v>
      </c>
      <c r="C31" s="31">
        <v>0</v>
      </c>
      <c r="D31" s="31" t="str">
        <v>STK/PCS</v>
      </c>
      <c r="E31" s="170">
        <v>0</v>
      </c>
    </row>
    <row r="32" spans="1:5" x14ac:dyDescent="0.25">
      <c r="A32" s="53">
        <v>5984</v>
      </c>
      <c r="B32" s="21" t="str">
        <v>GRANATEPLE STK / POMEGRANATE PCS</v>
      </c>
      <c r="C32" s="31">
        <v>0</v>
      </c>
      <c r="D32" s="31" t="str">
        <v>STK/PCS</v>
      </c>
      <c r="E32" s="170">
        <v>13792960</v>
      </c>
    </row>
    <row r="33" spans="1:5" x14ac:dyDescent="0.25">
      <c r="A33" s="53">
        <v>5725</v>
      </c>
      <c r="B33" s="21" t="str">
        <v>GRAPEFRUKT RØD KG / GRAPEFRUIT RED KG</v>
      </c>
      <c r="C33" s="31">
        <v>0</v>
      </c>
      <c r="D33" s="31" t="str">
        <v>KG</v>
      </c>
      <c r="E33" s="170">
        <v>11001086</v>
      </c>
    </row>
    <row r="34" spans="1:5" x14ac:dyDescent="0.25">
      <c r="A34" s="53">
        <v>5310</v>
      </c>
      <c r="B34" s="21" t="str">
        <v>KIWI GRØNN STK / KIWI GREEN PCS</v>
      </c>
      <c r="C34" s="31">
        <v>0</v>
      </c>
      <c r="D34" s="31" t="str">
        <v>STK/PCS</v>
      </c>
      <c r="E34" s="170">
        <v>11001047</v>
      </c>
    </row>
    <row r="35" spans="1:5" x14ac:dyDescent="0.25">
      <c r="A35" s="53">
        <v>2000568400000</v>
      </c>
      <c r="B35" s="21" t="str">
        <v>KIWI GUL 4PK / KIWI YELLOW 4PCS</v>
      </c>
      <c r="C35" s="31">
        <v>0</v>
      </c>
      <c r="D35" s="31" t="str">
        <v>STK/PCS</v>
      </c>
      <c r="E35" s="170">
        <v>0</v>
      </c>
    </row>
    <row r="36" spans="1:5" x14ac:dyDescent="0.25">
      <c r="A36" s="53">
        <v>5722</v>
      </c>
      <c r="B36" s="21" t="str">
        <v>KLEMENTIN KG / CLEMENTINE KG</v>
      </c>
      <c r="C36" s="31">
        <v>0</v>
      </c>
      <c r="D36" s="31" t="str">
        <v>KG</v>
      </c>
      <c r="E36" s="170">
        <v>11001015</v>
      </c>
    </row>
    <row r="37" spans="1:5" x14ac:dyDescent="0.25">
      <c r="A37" s="53">
        <v>5716</v>
      </c>
      <c r="B37" s="21" t="str">
        <v>LIME KG / LIME KG</v>
      </c>
      <c r="C37" s="31">
        <v>0</v>
      </c>
      <c r="D37" s="31" t="str">
        <v>KG</v>
      </c>
      <c r="E37" s="170">
        <v>11001089</v>
      </c>
    </row>
    <row r="38" spans="1:5" x14ac:dyDescent="0.25">
      <c r="A38" s="53">
        <v>5474</v>
      </c>
      <c r="B38" s="21" t="str">
        <v>MANGO  STK / MANGO PCS</v>
      </c>
      <c r="C38" s="31">
        <v>0</v>
      </c>
      <c r="D38" s="31" t="str">
        <v>STK/PCS</v>
      </c>
      <c r="E38" s="170">
        <v>13792957</v>
      </c>
    </row>
    <row r="39" spans="1:5" x14ac:dyDescent="0.25">
      <c r="A39" s="53">
        <v>2000528400000</v>
      </c>
      <c r="B39" s="21" t="str">
        <v>MANGO TØRKET SKIVET 400G / MANGO DRIED SLICED 400G</v>
      </c>
      <c r="C39" s="31">
        <v>0</v>
      </c>
      <c r="D39" s="31" t="str">
        <v>STK/PCS</v>
      </c>
      <c r="E39" s="170">
        <v>0</v>
      </c>
    </row>
    <row r="40" spans="1:5" x14ac:dyDescent="0.25">
      <c r="A40" s="53">
        <v>5325</v>
      </c>
      <c r="B40" s="21" t="str">
        <v>MELON CANTALOUPE KG / MELON CANTALOUPE KG</v>
      </c>
      <c r="C40" s="31">
        <v>0</v>
      </c>
      <c r="D40" s="31" t="str">
        <v>KG</v>
      </c>
      <c r="E40" s="170">
        <v>11000979</v>
      </c>
    </row>
    <row r="41" spans="1:5" x14ac:dyDescent="0.25">
      <c r="A41" s="53">
        <v>5302</v>
      </c>
      <c r="B41" s="21" t="str">
        <v>MELON HONNING KG / MELON HONEY KG</v>
      </c>
      <c r="C41" s="31">
        <v>0</v>
      </c>
      <c r="D41" s="31" t="str">
        <v>KG</v>
      </c>
      <c r="E41" s="170">
        <v>11000980</v>
      </c>
    </row>
    <row r="42" spans="1:5" x14ac:dyDescent="0.25">
      <c r="A42" s="53">
        <v>5322</v>
      </c>
      <c r="B42" s="21" t="str">
        <v>MELON PIEL DE SAPO KG / MELON PIEL DE SAPO KG</v>
      </c>
      <c r="C42" s="31">
        <v>0</v>
      </c>
      <c r="D42" s="31" t="str">
        <v>KG</v>
      </c>
      <c r="E42" s="170">
        <v>11887393</v>
      </c>
    </row>
    <row r="43" spans="1:5" x14ac:dyDescent="0.25">
      <c r="A43" s="53">
        <v>5734</v>
      </c>
      <c r="B43" s="21" t="str">
        <v>MELON VANN KG / MELON WATERMELON KG</v>
      </c>
      <c r="C43" s="31">
        <v>0</v>
      </c>
      <c r="D43" s="31" t="str">
        <v>KG</v>
      </c>
      <c r="E43" s="170">
        <v>11000977</v>
      </c>
    </row>
    <row r="44" spans="1:5" x14ac:dyDescent="0.25">
      <c r="A44" s="53">
        <v>2000515600000</v>
      </c>
      <c r="B44" s="21" t="str">
        <v>PASJONSFRUKT 3STK / PASSION FRUIT 3PCS</v>
      </c>
      <c r="C44" s="31">
        <v>0</v>
      </c>
      <c r="D44" s="31" t="str">
        <v>STK/PCS</v>
      </c>
      <c r="E44" s="170">
        <v>11000889</v>
      </c>
    </row>
    <row r="45" spans="1:5" x14ac:dyDescent="0.25">
      <c r="A45" s="53">
        <v>5782</v>
      </c>
      <c r="B45" s="21" t="str">
        <v>PÆRE KG / PEAR KG</v>
      </c>
      <c r="C45" s="31">
        <v>0</v>
      </c>
      <c r="D45" s="31" t="str">
        <v>KG</v>
      </c>
      <c r="E45" s="170">
        <v>11000996</v>
      </c>
    </row>
    <row r="46" spans="1:5" x14ac:dyDescent="0.25">
      <c r="A46" s="53">
        <v>5714</v>
      </c>
      <c r="B46" s="21" t="str">
        <v>SITRON KG / LEMON KG</v>
      </c>
      <c r="C46" s="31">
        <v>0</v>
      </c>
      <c r="D46" s="31" t="str">
        <v>KG</v>
      </c>
      <c r="E46" s="170">
        <v>11001087</v>
      </c>
    </row>
    <row r="47" spans="1:5" x14ac:dyDescent="0.25">
      <c r="A47" s="53">
        <v>0</v>
      </c>
      <c r="B47" s="21" t="str">
        <v>LEDIG</v>
      </c>
      <c r="C47" s="31">
        <v>0</v>
      </c>
      <c r="D47" s="31">
        <v>0</v>
      </c>
      <c r="E47" s="170">
        <v>0</v>
      </c>
    </row>
    <row r="48" spans="1:5" x14ac:dyDescent="0.25">
      <c r="A48" s="53">
        <v>0</v>
      </c>
      <c r="B48" s="21" t="str">
        <v>LEDIG</v>
      </c>
      <c r="C48" s="31">
        <v>0</v>
      </c>
      <c r="D48" s="31">
        <v>0</v>
      </c>
      <c r="E48" s="170">
        <v>0</v>
      </c>
    </row>
    <row r="49" spans="1:5" x14ac:dyDescent="0.25">
      <c r="A49" s="53">
        <v>0</v>
      </c>
      <c r="B49" s="21" t="str">
        <v>LEDIG</v>
      </c>
      <c r="C49" s="31">
        <v>0</v>
      </c>
      <c r="D49" s="31">
        <v>0</v>
      </c>
      <c r="E49" s="170">
        <v>0</v>
      </c>
    </row>
    <row r="50" spans="1:5" x14ac:dyDescent="0.25">
      <c r="A50" s="53">
        <v>0</v>
      </c>
      <c r="B50" s="21" t="str">
        <v>LEDIG</v>
      </c>
      <c r="C50" s="31">
        <v>0</v>
      </c>
      <c r="D50" s="31">
        <v>0</v>
      </c>
      <c r="E50" s="170">
        <v>0</v>
      </c>
    </row>
    <row r="51" spans="1:5" x14ac:dyDescent="0.25">
      <c r="A51" s="53">
        <v>0</v>
      </c>
      <c r="B51" s="21" t="str">
        <v>LEDIG</v>
      </c>
      <c r="C51" s="31">
        <v>0</v>
      </c>
      <c r="D51" s="31">
        <v>0</v>
      </c>
      <c r="E51" s="170">
        <v>0</v>
      </c>
    </row>
    <row r="52" spans="1:5" x14ac:dyDescent="0.25">
      <c r="A52" s="53"/>
      <c r="B52" s="21"/>
      <c r="C52" s="31"/>
      <c r="D52" s="31"/>
      <c r="E52" s="170"/>
    </row>
    <row r="53" spans="1:5" x14ac:dyDescent="0.25">
      <c r="A53" s="53"/>
      <c r="B53" s="21"/>
      <c r="C53" s="31"/>
      <c r="D53" s="31"/>
      <c r="E53" s="170"/>
    </row>
    <row r="54" spans="1:5" x14ac:dyDescent="0.25">
      <c r="A54" s="54" cm="1">
        <f t="array" ref="A54:D137">Tabell19[[EAN]:[STK/PCS/KG]]</f>
        <v>2000551600000</v>
      </c>
      <c r="B54" s="22" t="str">
        <v>AGURK STK / CUCUMBER PCS</v>
      </c>
      <c r="C54" s="32">
        <v>0</v>
      </c>
      <c r="D54" s="32" t="str">
        <v>STK/PCS</v>
      </c>
      <c r="E54" s="170" cm="1">
        <f t="array" ref="E54:E137">Tabell19[V.NR KRAEMER]</f>
        <v>12247473</v>
      </c>
    </row>
    <row r="55" spans="1:5" x14ac:dyDescent="0.25">
      <c r="A55" s="54">
        <v>2000565300000</v>
      </c>
      <c r="B55" s="22" t="str">
        <v>ASPARGES GRØNN 250G / ASPARAGUS 250G</v>
      </c>
      <c r="C55" s="32">
        <v>0</v>
      </c>
      <c r="D55" s="32" t="str">
        <v>STK/PCS</v>
      </c>
      <c r="E55" s="170">
        <v>12049391</v>
      </c>
    </row>
    <row r="56" spans="1:5" x14ac:dyDescent="0.25">
      <c r="A56" s="54">
        <v>2000551900000</v>
      </c>
      <c r="B56" s="22" t="str">
        <v>AUBERGIN  STK / EGGPLANT PCS</v>
      </c>
      <c r="C56" s="32">
        <v>0</v>
      </c>
      <c r="D56" s="32" t="str">
        <v>STK/PCS</v>
      </c>
      <c r="E56" s="170">
        <v>11001058</v>
      </c>
    </row>
    <row r="57" spans="1:5" x14ac:dyDescent="0.25">
      <c r="A57" s="54">
        <v>2000604900000</v>
      </c>
      <c r="B57" s="22" t="str">
        <v>BETEMIX 1KG BGR / BEET MIX 1KG</v>
      </c>
      <c r="C57" s="32">
        <v>0</v>
      </c>
      <c r="D57" s="32" t="str">
        <v>STK/PCS</v>
      </c>
      <c r="E57" s="170">
        <v>0</v>
      </c>
    </row>
    <row r="58" spans="1:5" x14ac:dyDescent="0.25">
      <c r="A58" s="54">
        <v>5508</v>
      </c>
      <c r="B58" s="22" t="str">
        <v>BLOMKÅL STK / CAULIFLOWER PCS</v>
      </c>
      <c r="C58" s="32">
        <v>0</v>
      </c>
      <c r="D58" s="32" t="str">
        <v>STK/PCS</v>
      </c>
      <c r="E58" s="170">
        <v>11000859</v>
      </c>
    </row>
    <row r="59" spans="1:5" x14ac:dyDescent="0.25">
      <c r="A59" s="54">
        <v>2000551200000</v>
      </c>
      <c r="B59" s="22" t="str">
        <v>BROKKOLI STK / BROCCOLI PCS</v>
      </c>
      <c r="C59" s="32">
        <v>0</v>
      </c>
      <c r="D59" s="32" t="str">
        <v>STK/PCS</v>
      </c>
      <c r="E59" s="170">
        <v>13800260</v>
      </c>
    </row>
    <row r="60" spans="1:5" x14ac:dyDescent="0.25">
      <c r="A60" s="54">
        <v>200551300004</v>
      </c>
      <c r="B60" s="22" t="str">
        <v>BROKKOLINI 200G STK / BROCCOLINI 200G</v>
      </c>
      <c r="C60" s="32">
        <v>0</v>
      </c>
      <c r="D60" s="32" t="str">
        <v>STK/PCS</v>
      </c>
      <c r="E60" s="170">
        <v>12220556</v>
      </c>
    </row>
    <row r="61" spans="1:5" x14ac:dyDescent="0.25">
      <c r="A61" s="54">
        <v>2000538900000</v>
      </c>
      <c r="B61" s="22" t="str">
        <v>BØNNE ASPARGES 200G / HARICOTS VERTS 200G</v>
      </c>
      <c r="C61" s="32">
        <v>0</v>
      </c>
      <c r="D61" s="32" t="str">
        <v>STK/PCS</v>
      </c>
      <c r="E61" s="170">
        <v>11001082</v>
      </c>
    </row>
    <row r="62" spans="1:5" x14ac:dyDescent="0.25">
      <c r="A62" s="54">
        <v>2000513400000</v>
      </c>
      <c r="B62" s="22" t="str">
        <v>CHILI RØD 50G / CHILI RED 50G</v>
      </c>
      <c r="C62" s="32">
        <v>0</v>
      </c>
      <c r="D62" s="32" t="str">
        <v>STK/PCS</v>
      </c>
      <c r="E62" s="170">
        <v>0</v>
      </c>
    </row>
    <row r="63" spans="1:5" x14ac:dyDescent="0.25">
      <c r="A63" s="54">
        <v>2000513500000</v>
      </c>
      <c r="B63" s="22" t="str">
        <v>CHILI GRØNN 50G / CHILI GREEN 50G</v>
      </c>
      <c r="C63" s="32">
        <v>0</v>
      </c>
      <c r="D63" s="32" t="str">
        <v>STK/PCS</v>
      </c>
      <c r="E63" s="170">
        <v>11000893</v>
      </c>
    </row>
    <row r="64" spans="1:5" x14ac:dyDescent="0.25">
      <c r="A64" s="54">
        <v>2000506300000</v>
      </c>
      <c r="B64" s="22" t="str">
        <v>CHILI HABANERO 50G / CHILI HABANERO 50G</v>
      </c>
      <c r="C64" s="32">
        <v>0</v>
      </c>
      <c r="D64" s="32" t="str">
        <v>STK/PCS</v>
      </c>
      <c r="E64" s="170">
        <v>11000924</v>
      </c>
    </row>
    <row r="65" spans="1:5" x14ac:dyDescent="0.25">
      <c r="A65" s="54">
        <v>2000513700000</v>
      </c>
      <c r="B65" s="22" t="str">
        <v>CHILI JALAPENO GRØNN 50G / CHILI JALAPENO GREEN 50G</v>
      </c>
      <c r="C65" s="32">
        <v>0</v>
      </c>
      <c r="D65" s="32" t="str">
        <v>STK/PCS</v>
      </c>
      <c r="E65" s="170">
        <v>12357289</v>
      </c>
    </row>
    <row r="66" spans="1:5" x14ac:dyDescent="0.25">
      <c r="A66" s="54">
        <v>5638</v>
      </c>
      <c r="B66" s="22" t="str">
        <v>CHILI RØD KG / CHILI RED KG</v>
      </c>
      <c r="C66" s="32">
        <v>0</v>
      </c>
      <c r="D66" s="32" t="str">
        <v>KG</v>
      </c>
      <c r="E66" s="170">
        <v>11000894</v>
      </c>
    </row>
    <row r="67" spans="1:5" x14ac:dyDescent="0.25">
      <c r="A67" s="54">
        <v>2000517000000</v>
      </c>
      <c r="B67" s="22" t="str">
        <v>CHILI RØD RAWIT 50G / CHILE RED RAWIT 50G</v>
      </c>
      <c r="C67" s="32">
        <v>0</v>
      </c>
      <c r="D67" s="32" t="str">
        <v>STK/PCS</v>
      </c>
      <c r="E67" s="170">
        <v>0</v>
      </c>
    </row>
    <row r="68" spans="1:5" x14ac:dyDescent="0.25">
      <c r="A68" s="54">
        <v>2000511400000</v>
      </c>
      <c r="B68" s="22" t="str">
        <v>FENNIKEL 200G / FENNEL 200G</v>
      </c>
      <c r="C68" s="32">
        <v>0</v>
      </c>
      <c r="D68" s="32" t="str">
        <v>STK/PCS</v>
      </c>
      <c r="E68" s="170">
        <v>11000896</v>
      </c>
    </row>
    <row r="69" spans="1:5" x14ac:dyDescent="0.25">
      <c r="A69" s="54">
        <v>5069</v>
      </c>
      <c r="B69" s="22" t="str">
        <v>GRESSKAR BUTTERNUT KG  /BUTTERNUT SQUASH KG</v>
      </c>
      <c r="C69" s="32">
        <v>0</v>
      </c>
      <c r="D69" s="32" t="str">
        <v>KG</v>
      </c>
      <c r="E69" s="170">
        <v>13881198</v>
      </c>
    </row>
    <row r="70" spans="1:5" x14ac:dyDescent="0.25">
      <c r="A70" s="54">
        <v>2000559200000</v>
      </c>
      <c r="B70" s="22" t="str">
        <v>GULROT 1KG POSE / CARROT 1KG BAG</v>
      </c>
      <c r="C70" s="32">
        <v>0</v>
      </c>
      <c r="D70" s="32" t="str">
        <v>STK/PCS</v>
      </c>
      <c r="E70" s="170">
        <v>11000961</v>
      </c>
    </row>
    <row r="71" spans="1:5" x14ac:dyDescent="0.25">
      <c r="A71" s="54">
        <v>2000544400000</v>
      </c>
      <c r="B71" s="22" t="str">
        <v>GULROT SNACK 250G /CARROT SNACK 250G</v>
      </c>
      <c r="C71" s="32">
        <v>0</v>
      </c>
      <c r="D71" s="32" t="str">
        <v>STK/PCS</v>
      </c>
      <c r="E71" s="170">
        <v>12220534</v>
      </c>
    </row>
    <row r="72" spans="1:5" x14ac:dyDescent="0.25">
      <c r="A72" s="54">
        <v>5572</v>
      </c>
      <c r="B72" s="22" t="str">
        <v>HODEKÅL KG / CABBAGE GREEN KG</v>
      </c>
      <c r="C72" s="32">
        <v>0</v>
      </c>
      <c r="D72" s="32" t="str">
        <v>KG</v>
      </c>
      <c r="E72" s="170">
        <v>11000964</v>
      </c>
    </row>
    <row r="73" spans="1:5" x14ac:dyDescent="0.25">
      <c r="A73" s="54">
        <v>5580</v>
      </c>
      <c r="B73" s="22" t="str">
        <v>HODEKÅL RØD KG / CABBAGE RED KG</v>
      </c>
      <c r="C73" s="32">
        <v>0</v>
      </c>
      <c r="D73" s="32" t="str">
        <v>KG</v>
      </c>
      <c r="E73" s="170">
        <v>11000966</v>
      </c>
    </row>
    <row r="74" spans="1:5" x14ac:dyDescent="0.25">
      <c r="A74" s="54">
        <v>5584</v>
      </c>
      <c r="B74" s="22" t="str">
        <v>HODEKÅL SAVOY KG / SAVOY CABBAGE KG</v>
      </c>
      <c r="C74" s="32">
        <v>0</v>
      </c>
      <c r="D74" s="32" t="str">
        <v>KG</v>
      </c>
      <c r="E74" s="170">
        <v>12395937</v>
      </c>
    </row>
    <row r="75" spans="1:5" x14ac:dyDescent="0.25">
      <c r="A75" s="54">
        <v>5664</v>
      </c>
      <c r="B75" s="22" t="str">
        <v>INGEFÆR KG / GINGER KG</v>
      </c>
      <c r="C75" s="32">
        <v>0</v>
      </c>
      <c r="D75" s="32" t="str">
        <v>KG</v>
      </c>
      <c r="E75" s="170">
        <v>11000898</v>
      </c>
    </row>
    <row r="76" spans="1:5" x14ac:dyDescent="0.25">
      <c r="A76" s="54">
        <v>2000554800000</v>
      </c>
      <c r="B76" s="22" t="str">
        <v>ISBERG STK / ISBERG LETTUCE PCS</v>
      </c>
      <c r="C76" s="32">
        <v>0</v>
      </c>
      <c r="D76" s="32" t="str">
        <v>STK/PCS</v>
      </c>
      <c r="E76" s="170">
        <v>11887344</v>
      </c>
    </row>
    <row r="77" spans="1:5" x14ac:dyDescent="0.25">
      <c r="A77" s="54">
        <v>5358</v>
      </c>
      <c r="B77" s="22" t="str">
        <v>JORDSKOKK KG / JERUSALEM ARTICHOKE KG</v>
      </c>
      <c r="C77" s="32">
        <v>0</v>
      </c>
      <c r="D77" s="32" t="str">
        <v>KG</v>
      </c>
      <c r="E77" s="170">
        <v>11000903</v>
      </c>
    </row>
    <row r="78" spans="1:5" x14ac:dyDescent="0.25">
      <c r="A78" s="54">
        <v>20000558200000</v>
      </c>
      <c r="B78" s="22" t="str">
        <v>KINAKÅL STK / CHINESE CABBAGE PCS</v>
      </c>
      <c r="C78" s="32">
        <v>0</v>
      </c>
      <c r="D78" s="32" t="str">
        <v>STK/PCS</v>
      </c>
      <c r="E78" s="170">
        <v>11000950</v>
      </c>
    </row>
    <row r="79" spans="1:5" x14ac:dyDescent="0.25">
      <c r="A79" s="54">
        <v>5571</v>
      </c>
      <c r="B79" s="22" t="str">
        <v>KNUTEKÅL KG / TURNIP KALE KG</v>
      </c>
      <c r="C79" s="32">
        <v>0</v>
      </c>
      <c r="D79" s="32" t="str">
        <v>KG</v>
      </c>
      <c r="E79" s="170">
        <v>13793031</v>
      </c>
    </row>
    <row r="80" spans="1:5" x14ac:dyDescent="0.25">
      <c r="A80" s="54">
        <v>5536</v>
      </c>
      <c r="B80" s="22" t="str">
        <v>KÅLROT KG / RUTABAGA KG</v>
      </c>
      <c r="C80" s="32">
        <v>0</v>
      </c>
      <c r="D80" s="32" t="str">
        <v>KG</v>
      </c>
      <c r="E80" s="170">
        <v>11000968</v>
      </c>
    </row>
    <row r="81" spans="1:5" x14ac:dyDescent="0.25">
      <c r="A81" s="54">
        <v>2000562400000</v>
      </c>
      <c r="B81" s="22" t="str">
        <v>LØK HVITLØK 500G FLETTE / GARLIC BRADE 500G</v>
      </c>
      <c r="C81" s="32">
        <v>0</v>
      </c>
      <c r="D81" s="32" t="str">
        <v>STK/PCS</v>
      </c>
      <c r="E81" s="170">
        <v>11887340</v>
      </c>
    </row>
    <row r="82" spans="1:5" x14ac:dyDescent="0.25">
      <c r="A82" s="54">
        <v>5676</v>
      </c>
      <c r="B82" s="22" t="str">
        <v>LØK HVITLØK FERSK KG / GARLIC FRESH KG</v>
      </c>
      <c r="C82" s="32">
        <v>0</v>
      </c>
      <c r="D82" s="32" t="str">
        <v>KG</v>
      </c>
      <c r="E82" s="170">
        <v>0</v>
      </c>
    </row>
    <row r="83" spans="1:5" x14ac:dyDescent="0.25">
      <c r="A83" s="54">
        <v>2000585100000</v>
      </c>
      <c r="B83" s="22" t="str">
        <v>LØK HVITLØK KINA 100G / CHINESE GARLIC 100G</v>
      </c>
      <c r="C83" s="32">
        <v>0</v>
      </c>
      <c r="D83" s="32" t="str">
        <v>STK/PCS</v>
      </c>
      <c r="E83" s="170">
        <v>11000976</v>
      </c>
    </row>
    <row r="84" spans="1:5" x14ac:dyDescent="0.25">
      <c r="A84" s="54">
        <v>2000562500000</v>
      </c>
      <c r="B84" s="22" t="str">
        <v>LØK HVITLØK 100G / GARLIC 100G</v>
      </c>
      <c r="C84" s="32">
        <v>0</v>
      </c>
      <c r="D84" s="32" t="str">
        <v>STK/PCS</v>
      </c>
      <c r="E84" s="170">
        <v>11000974</v>
      </c>
    </row>
    <row r="85" spans="1:5" x14ac:dyDescent="0.25">
      <c r="A85" s="54">
        <v>2000532000000</v>
      </c>
      <c r="B85" s="22" t="str">
        <v>LØK STJERNELØK 250G / BABY ONION 250G</v>
      </c>
      <c r="C85" s="32">
        <v>0</v>
      </c>
      <c r="D85" s="32" t="str">
        <v>STK/PCS</v>
      </c>
      <c r="E85" s="170">
        <v>0</v>
      </c>
    </row>
    <row r="86" spans="1:5" x14ac:dyDescent="0.25">
      <c r="A86" s="54">
        <v>2000532300000</v>
      </c>
      <c r="B86" s="22" t="str">
        <v>LØK RØD STRØMPE 400G / RED ONION 400G</v>
      </c>
      <c r="C86" s="32">
        <v>0</v>
      </c>
      <c r="D86" s="32" t="str">
        <v>STK/PCS</v>
      </c>
      <c r="E86" s="170">
        <v>11000973</v>
      </c>
    </row>
    <row r="87" spans="1:5" x14ac:dyDescent="0.25">
      <c r="A87" s="54">
        <v>2000598700000</v>
      </c>
      <c r="B87" s="22" t="str">
        <v>LØK SJALOTT 250G / SHALLOTS 250G</v>
      </c>
      <c r="C87" s="32">
        <v>0</v>
      </c>
      <c r="D87" s="32" t="str">
        <v>STK/PCS</v>
      </c>
      <c r="E87" s="170">
        <v>12223050</v>
      </c>
    </row>
    <row r="88" spans="1:5" x14ac:dyDescent="0.25">
      <c r="A88" s="54">
        <v>5610</v>
      </c>
      <c r="B88" s="22" t="str">
        <v>LØK GUL KG / ONION YELLOW KG</v>
      </c>
      <c r="C88" s="32">
        <v>0</v>
      </c>
      <c r="D88" s="32" t="str">
        <v>KG</v>
      </c>
      <c r="E88" s="170">
        <v>11887388</v>
      </c>
    </row>
    <row r="89" spans="1:5" x14ac:dyDescent="0.25">
      <c r="A89" s="54">
        <v>5629</v>
      </c>
      <c r="B89" s="22" t="str">
        <v>MAIS KOLBE KOKT 2STK / CORN ON A COB 2PCS</v>
      </c>
      <c r="C89" s="32">
        <v>0</v>
      </c>
      <c r="D89" s="32" t="str">
        <v>STK/PCS</v>
      </c>
      <c r="E89" s="170">
        <v>12049457</v>
      </c>
    </row>
    <row r="90" spans="1:5" x14ac:dyDescent="0.25">
      <c r="A90" s="54">
        <v>2000560100000</v>
      </c>
      <c r="B90" s="22" t="str">
        <v>NEPE KG / TURNIP KG</v>
      </c>
      <c r="C90" s="32">
        <v>0</v>
      </c>
      <c r="D90" s="32" t="str">
        <v>KG</v>
      </c>
      <c r="E90" s="170">
        <v>11001059</v>
      </c>
    </row>
    <row r="91" spans="1:5" x14ac:dyDescent="0.25">
      <c r="A91" s="54">
        <v>2000536600000</v>
      </c>
      <c r="B91" s="22" t="str">
        <v>PAK CHOY STK / PAK CHOY PCS</v>
      </c>
      <c r="C91" s="32">
        <v>0</v>
      </c>
      <c r="D91" s="32" t="str">
        <v>STK/PCS</v>
      </c>
      <c r="E91" s="170">
        <v>13800242</v>
      </c>
    </row>
    <row r="92" spans="1:5" x14ac:dyDescent="0.25">
      <c r="A92" s="54">
        <v>5530</v>
      </c>
      <c r="B92" s="22" t="str">
        <v>PAPRIKA GRØNN KG / GREEN PEPPER KG</v>
      </c>
      <c r="C92" s="32">
        <v>0</v>
      </c>
      <c r="D92" s="32" t="str">
        <v>KG</v>
      </c>
      <c r="E92" s="170">
        <v>11000985</v>
      </c>
    </row>
    <row r="93" spans="1:5" x14ac:dyDescent="0.25">
      <c r="A93" s="54">
        <v>5528</v>
      </c>
      <c r="B93" s="22" t="str">
        <v>PAPRIKA GUL KG / YELLOW PEPPER KG</v>
      </c>
      <c r="C93" s="32">
        <v>0</v>
      </c>
      <c r="D93" s="32" t="str">
        <v>KG</v>
      </c>
      <c r="E93" s="170">
        <v>11000984</v>
      </c>
    </row>
    <row r="94" spans="1:5" x14ac:dyDescent="0.25">
      <c r="A94" s="54">
        <v>2000598600000</v>
      </c>
      <c r="B94" s="22" t="str">
        <v>PAPRIKA MIX 3STK / BELLPEPPER MIX 3 PCS</v>
      </c>
      <c r="C94" s="32">
        <v>0</v>
      </c>
      <c r="D94" s="32" t="str">
        <v>STK/PCS</v>
      </c>
      <c r="E94" s="170">
        <v>0</v>
      </c>
    </row>
    <row r="95" spans="1:5" x14ac:dyDescent="0.25">
      <c r="A95" s="54">
        <v>5529</v>
      </c>
      <c r="B95" s="22" t="str">
        <v>PAPRIKA ORANGE KG / PEPPER ORANGE KG</v>
      </c>
      <c r="C95" s="32">
        <v>0</v>
      </c>
      <c r="D95" s="32" t="str">
        <v>KG</v>
      </c>
      <c r="E95" s="170">
        <v>0</v>
      </c>
    </row>
    <row r="96" spans="1:5" x14ac:dyDescent="0.25">
      <c r="A96" s="54">
        <v>5526</v>
      </c>
      <c r="B96" s="22" t="str">
        <v>PAPRIKA RØD KG / PEPPER RED KG</v>
      </c>
      <c r="C96" s="32">
        <v>0</v>
      </c>
      <c r="D96" s="32" t="str">
        <v>KG</v>
      </c>
      <c r="E96" s="170">
        <v>11000983</v>
      </c>
    </row>
    <row r="97" spans="1:5" x14ac:dyDescent="0.25">
      <c r="A97" s="54">
        <v>200054900000</v>
      </c>
      <c r="B97" s="22" t="str">
        <v>PAPRIKA SNACK PK / SNACK PEPPER PCS</v>
      </c>
      <c r="C97" s="32">
        <v>0</v>
      </c>
      <c r="D97" s="32" t="str">
        <v>STK/PCS</v>
      </c>
      <c r="E97" s="170">
        <v>0</v>
      </c>
    </row>
    <row r="98" spans="1:5" x14ac:dyDescent="0.25">
      <c r="A98" s="54">
        <v>2000607000000</v>
      </c>
      <c r="B98" s="22" t="str">
        <v>PASTINAKK ÄNGLAMARK 200G / PARSNIPS 200G</v>
      </c>
      <c r="C98" s="32">
        <v>0</v>
      </c>
      <c r="D98" s="32" t="str">
        <v>STK/PCS</v>
      </c>
      <c r="E98" s="170">
        <v>11000901</v>
      </c>
    </row>
    <row r="99" spans="1:5" x14ac:dyDescent="0.25">
      <c r="A99" s="54">
        <v>5658</v>
      </c>
      <c r="B99" s="22" t="str">
        <v>PEPPERROT KG / HORSERADISH KG</v>
      </c>
      <c r="C99" s="32">
        <v>0</v>
      </c>
      <c r="D99" s="32" t="str">
        <v>KG</v>
      </c>
      <c r="E99" s="170">
        <v>11000895</v>
      </c>
    </row>
    <row r="100" spans="1:5" x14ac:dyDescent="0.25">
      <c r="A100" s="54">
        <v>2000565700000</v>
      </c>
      <c r="B100" s="22" t="str">
        <v>PEPPERROT TUBE STK / HORSERADISH PASTE PCS</v>
      </c>
      <c r="C100" s="32">
        <v>0</v>
      </c>
      <c r="D100" s="32" t="str">
        <v>STK/PCS</v>
      </c>
      <c r="E100" s="170">
        <v>0</v>
      </c>
    </row>
    <row r="101" spans="1:5" x14ac:dyDescent="0.25">
      <c r="A101" s="54">
        <v>2000595400000</v>
      </c>
      <c r="B101" s="22" t="str">
        <v>PERSILLEROT 200G / PARSLEY ROOT 200G</v>
      </c>
      <c r="C101" s="32">
        <v>0</v>
      </c>
      <c r="D101" s="32" t="str">
        <v>STK/PCS</v>
      </c>
      <c r="E101" s="170">
        <v>13774143</v>
      </c>
    </row>
    <row r="102" spans="1:5" x14ac:dyDescent="0.25">
      <c r="A102" s="54">
        <v>5683</v>
      </c>
      <c r="B102" s="22" t="str">
        <v>POTET ASSORTERT LØS KG NO / POTATO ASSORTED KG</v>
      </c>
      <c r="C102" s="32">
        <v>0</v>
      </c>
      <c r="D102" s="32" t="str">
        <v>KG</v>
      </c>
      <c r="E102" s="170">
        <v>11000993</v>
      </c>
    </row>
    <row r="103" spans="1:5" x14ac:dyDescent="0.25">
      <c r="A103" s="54">
        <v>5695</v>
      </c>
      <c r="B103" s="22" t="str">
        <v>POTET BAKEPOTET KG / BAKING POTATO KG</v>
      </c>
      <c r="C103" s="32">
        <v>0</v>
      </c>
      <c r="D103" s="32" t="str">
        <v>KG</v>
      </c>
      <c r="E103" s="170">
        <v>12390285</v>
      </c>
    </row>
    <row r="104" spans="1:5" x14ac:dyDescent="0.25">
      <c r="A104" s="54">
        <v>2000544600000</v>
      </c>
      <c r="B104" s="22" t="str">
        <v>POTET  SMÅ 850G / BABY POTATO 850G</v>
      </c>
      <c r="C104" s="32">
        <v>0</v>
      </c>
      <c r="D104" s="32" t="str">
        <v>STK/PCS</v>
      </c>
      <c r="E104" s="170">
        <v>13798927</v>
      </c>
    </row>
    <row r="105" spans="1:5" x14ac:dyDescent="0.25">
      <c r="A105" s="54">
        <v>5538</v>
      </c>
      <c r="B105" s="22" t="str">
        <v>PURRE KG / LEEK KG</v>
      </c>
      <c r="C105" s="32">
        <v>0</v>
      </c>
      <c r="D105" s="32" t="str">
        <v>KG</v>
      </c>
      <c r="E105" s="170">
        <v>11001065</v>
      </c>
    </row>
    <row r="106" spans="1:5" x14ac:dyDescent="0.25">
      <c r="A106" s="54">
        <v>2000653800000</v>
      </c>
      <c r="B106" s="22" t="str">
        <v>PURRE ÄNGLAMARK KG / LEEK ORGANIC KG</v>
      </c>
      <c r="C106" s="32">
        <v>0</v>
      </c>
      <c r="D106" s="32" t="str">
        <v>KG</v>
      </c>
      <c r="E106" s="170">
        <v>0</v>
      </c>
    </row>
    <row r="107" spans="1:5" x14ac:dyDescent="0.25">
      <c r="A107" s="54">
        <v>2000559900000</v>
      </c>
      <c r="B107" s="22" t="str">
        <v>REDDIK 150G PK / RADISH 150G</v>
      </c>
      <c r="C107" s="32">
        <v>0</v>
      </c>
      <c r="D107" s="32" t="str">
        <v>STK/PCS</v>
      </c>
      <c r="E107" s="170">
        <v>12395942</v>
      </c>
    </row>
    <row r="108" spans="1:5" x14ac:dyDescent="0.25">
      <c r="A108" s="54">
        <v>2000604800000</v>
      </c>
      <c r="B108" s="22" t="str">
        <v>ROTMIX ÄNGLAMARK 1KG / ROOTMIX 1KG</v>
      </c>
      <c r="C108" s="32">
        <v>0</v>
      </c>
      <c r="D108" s="32" t="str">
        <v>STK/PCS</v>
      </c>
      <c r="E108" s="170">
        <v>0</v>
      </c>
    </row>
    <row r="109" spans="1:5" x14ac:dyDescent="0.25">
      <c r="A109" s="54">
        <v>2000606600000</v>
      </c>
      <c r="B109" s="22" t="str">
        <v>RØDBETE ÄNGLAMARK 750G / BEETROOT 750G</v>
      </c>
      <c r="C109" s="32">
        <v>0</v>
      </c>
      <c r="D109" s="32" t="str">
        <v>STK/PCS</v>
      </c>
      <c r="E109" s="170">
        <v>11001071</v>
      </c>
    </row>
    <row r="110" spans="1:5" x14ac:dyDescent="0.25">
      <c r="A110" s="54">
        <v>5542</v>
      </c>
      <c r="B110" s="22" t="str">
        <v>SELLERIROT KG / CELERY ROOT KG</v>
      </c>
      <c r="C110" s="32">
        <v>0</v>
      </c>
      <c r="D110" s="32" t="str">
        <v>KG</v>
      </c>
      <c r="E110" s="170">
        <v>11001067</v>
      </c>
    </row>
    <row r="111" spans="1:5" x14ac:dyDescent="0.25">
      <c r="A111" s="54">
        <v>5449</v>
      </c>
      <c r="B111" s="22" t="str">
        <v>SOPP AROMA KG / MUSHROOM AROMA KG</v>
      </c>
      <c r="C111" s="32">
        <v>0</v>
      </c>
      <c r="D111" s="32" t="str">
        <v>KG</v>
      </c>
      <c r="E111" s="170">
        <v>11001021</v>
      </c>
    </row>
    <row r="112" spans="1:5" x14ac:dyDescent="0.25">
      <c r="A112" s="54">
        <v>6032</v>
      </c>
      <c r="B112" s="22" t="str">
        <v>SOPP PORTABELLO KG  / MUSHROOM PORTOBELLO KG</v>
      </c>
      <c r="C112" s="32">
        <v>0</v>
      </c>
      <c r="D112" s="32" t="str">
        <v>KG</v>
      </c>
      <c r="E112" s="170">
        <v>11001022</v>
      </c>
    </row>
    <row r="113" spans="1:5" x14ac:dyDescent="0.25">
      <c r="A113" s="54">
        <v>6021</v>
      </c>
      <c r="B113" s="22" t="str">
        <v>SOPP SHI TAKE KG  / MUSHROOM SHI TAKE KG</v>
      </c>
      <c r="C113" s="32">
        <v>0</v>
      </c>
      <c r="D113" s="32" t="str">
        <v>KG</v>
      </c>
      <c r="E113" s="170">
        <v>11001017</v>
      </c>
    </row>
    <row r="114" spans="1:5" x14ac:dyDescent="0.25">
      <c r="A114" s="54">
        <v>5554</v>
      </c>
      <c r="B114" s="22" t="str">
        <v>SOPP SJAMPINJONG KG  / MUSHROOM KG</v>
      </c>
      <c r="C114" s="32">
        <v>0</v>
      </c>
      <c r="D114" s="32" t="str">
        <v>KG</v>
      </c>
      <c r="E114" s="170">
        <v>11001016</v>
      </c>
    </row>
    <row r="115" spans="1:5" x14ac:dyDescent="0.25">
      <c r="A115" s="54">
        <v>5555</v>
      </c>
      <c r="B115" s="22" t="str">
        <v>SOPP ØSTERS KG  / MUSHROOM OYSTER KG</v>
      </c>
      <c r="C115" s="32">
        <v>0</v>
      </c>
      <c r="D115" s="32" t="str">
        <v>KG</v>
      </c>
      <c r="E115" s="170">
        <v>11001019</v>
      </c>
    </row>
    <row r="116" spans="1:5" x14ac:dyDescent="0.25">
      <c r="A116" s="54">
        <v>2000606700000</v>
      </c>
      <c r="B116" s="22" t="str">
        <v>SPIRE ALFALFA ØKO STK / ALFA SPROUT PCS</v>
      </c>
      <c r="C116" s="32">
        <v>0</v>
      </c>
      <c r="D116" s="32" t="str">
        <v>STK/PCS</v>
      </c>
      <c r="E116" s="170">
        <v>0</v>
      </c>
    </row>
    <row r="117" spans="1:5" x14ac:dyDescent="0.25">
      <c r="A117" s="54">
        <v>2000606900000</v>
      </c>
      <c r="B117" s="22" t="str">
        <v>SPIRE BROKKOLI ØKO 50G / BROCCOLI SPROUT 50G</v>
      </c>
      <c r="C117" s="32">
        <v>0</v>
      </c>
      <c r="D117" s="32" t="str">
        <v>STK/PCS</v>
      </c>
      <c r="E117" s="170">
        <v>0</v>
      </c>
    </row>
    <row r="118" spans="1:5" x14ac:dyDescent="0.25">
      <c r="A118" s="54">
        <v>2000611200000</v>
      </c>
      <c r="B118" s="22" t="str">
        <v>SPIRE BØNNE ØKO 180G / BEEN SPROUT 180G</v>
      </c>
      <c r="C118" s="32">
        <v>0</v>
      </c>
      <c r="D118" s="32" t="str">
        <v>STK/PCS</v>
      </c>
      <c r="E118" s="170">
        <v>11001072</v>
      </c>
    </row>
    <row r="119" spans="1:5" x14ac:dyDescent="0.25">
      <c r="A119" s="54">
        <v>2000606300000</v>
      </c>
      <c r="B119" s="22" t="str">
        <v>SPIRE KLØVER ØKO 50G CLOVER SPROUT 50G</v>
      </c>
      <c r="C119" s="32">
        <v>0</v>
      </c>
      <c r="D119" s="32" t="str">
        <v>STK/PCS</v>
      </c>
      <c r="E119" s="170">
        <v>0</v>
      </c>
    </row>
    <row r="120" spans="1:5" x14ac:dyDescent="0.25">
      <c r="A120" s="54">
        <v>2000606500000</v>
      </c>
      <c r="B120" s="22" t="str">
        <v>SPIRE REDDIK ØKO 50G / RADISH SPROUT 50G</v>
      </c>
      <c r="C120" s="32">
        <v>0</v>
      </c>
      <c r="D120" s="32" t="str">
        <v>STK/PCS</v>
      </c>
      <c r="E120" s="170">
        <v>0</v>
      </c>
    </row>
    <row r="121" spans="1:5" x14ac:dyDescent="0.25">
      <c r="A121" s="54">
        <v>5520</v>
      </c>
      <c r="B121" s="22" t="str">
        <v>SQUASH STK / ZUCCHINI PCS</v>
      </c>
      <c r="C121" s="32">
        <v>0</v>
      </c>
      <c r="D121" s="32" t="str">
        <v>STK/PCS</v>
      </c>
      <c r="E121" s="170">
        <v>11001060</v>
      </c>
    </row>
    <row r="122" spans="1:5" x14ac:dyDescent="0.25">
      <c r="A122" s="54">
        <v>2000595700000</v>
      </c>
      <c r="B122" s="22" t="str">
        <v>STANGSELLERI STK / CELERY PCS</v>
      </c>
      <c r="C122" s="32">
        <v>0</v>
      </c>
      <c r="D122" s="32" t="str">
        <v>STK/PCS</v>
      </c>
      <c r="E122" s="170">
        <v>11001068</v>
      </c>
    </row>
    <row r="123" spans="1:5" x14ac:dyDescent="0.25">
      <c r="A123" s="54">
        <v>2000604200000</v>
      </c>
      <c r="B123" s="22" t="str">
        <v>SVARTKÅL 200G / BLACK CABBAGE 200G</v>
      </c>
      <c r="C123" s="32">
        <v>0</v>
      </c>
      <c r="D123" s="32" t="str">
        <v>STK/PCS</v>
      </c>
      <c r="E123" s="170">
        <v>0</v>
      </c>
    </row>
    <row r="124" spans="1:5" x14ac:dyDescent="0.25">
      <c r="A124" s="54">
        <v>2000515100000</v>
      </c>
      <c r="B124" s="22" t="str">
        <v>SUKKERERT RUNDE 150G / SUGARSNAPP PEAS 150G</v>
      </c>
      <c r="C124" s="32">
        <v>0</v>
      </c>
      <c r="D124" s="32" t="str">
        <v>STK/PCS</v>
      </c>
      <c r="E124" s="170">
        <v>12049512</v>
      </c>
    </row>
    <row r="125" spans="1:5" x14ac:dyDescent="0.25">
      <c r="A125" s="54">
        <v>5694</v>
      </c>
      <c r="B125" s="22" t="str">
        <v>SØTPOTET KG /SWEET POTATO KG</v>
      </c>
      <c r="C125" s="32">
        <v>0</v>
      </c>
      <c r="D125" s="32" t="str">
        <v>KG</v>
      </c>
      <c r="E125" s="170">
        <v>11000991</v>
      </c>
    </row>
    <row r="126" spans="1:5" x14ac:dyDescent="0.25">
      <c r="A126" s="54">
        <v>5502</v>
      </c>
      <c r="B126" s="22" t="str">
        <v>TOMAT BIFF KG / STEAK TOMATO KG</v>
      </c>
      <c r="C126" s="32">
        <v>0</v>
      </c>
      <c r="D126" s="32" t="str">
        <v>KG</v>
      </c>
      <c r="E126" s="170">
        <v>11001024</v>
      </c>
    </row>
    <row r="127" spans="1:5" x14ac:dyDescent="0.25">
      <c r="A127" s="54">
        <v>2000550400000</v>
      </c>
      <c r="B127" s="22" t="str">
        <v>TOMAT CHERRY 250G / CHERRY TOAMATO 250G</v>
      </c>
      <c r="C127" s="32">
        <v>0</v>
      </c>
      <c r="D127" s="32" t="str">
        <v>STK/PCS</v>
      </c>
      <c r="E127" s="170">
        <v>11001025</v>
      </c>
    </row>
    <row r="128" spans="1:5" x14ac:dyDescent="0.25">
      <c r="A128" s="54">
        <v>2000522600000</v>
      </c>
      <c r="B128" s="22" t="str">
        <v>TOMAT FLAVANCE SMAK 400G / TOMATO FLAVANCE 400G</v>
      </c>
      <c r="C128" s="32">
        <v>0</v>
      </c>
      <c r="D128" s="32" t="str">
        <v>STK/PCS</v>
      </c>
      <c r="E128" s="170">
        <v>0</v>
      </c>
    </row>
    <row r="129" spans="1:5" x14ac:dyDescent="0.25">
      <c r="A129" s="54">
        <v>5500</v>
      </c>
      <c r="B129" s="22" t="str">
        <v>TOMAT KG / TOMATO KG</v>
      </c>
      <c r="C129" s="32">
        <v>0</v>
      </c>
      <c r="D129" s="32" t="str">
        <v>KG</v>
      </c>
      <c r="E129" s="170">
        <v>11001023</v>
      </c>
    </row>
    <row r="130" spans="1:5" x14ac:dyDescent="0.25">
      <c r="A130" s="54">
        <v>2000603300000</v>
      </c>
      <c r="B130" s="22" t="str">
        <v>TOMAT KLASE 500G NO / TOMATO ON THE VINE 500G</v>
      </c>
      <c r="C130" s="32">
        <v>0</v>
      </c>
      <c r="D130" s="32" t="str">
        <v>STK/PCS</v>
      </c>
      <c r="E130" s="170">
        <v>11887466</v>
      </c>
    </row>
    <row r="131" spans="1:5" x14ac:dyDescent="0.25">
      <c r="A131" s="54">
        <v>2000521500000</v>
      </c>
      <c r="B131" s="22" t="str">
        <v>TOMAT PICCOLO 175G / TOMATO PICCOLO 175G</v>
      </c>
      <c r="C131" s="32">
        <v>0</v>
      </c>
      <c r="D131" s="32" t="str">
        <v>STK/PCS</v>
      </c>
      <c r="E131" s="170">
        <v>0</v>
      </c>
    </row>
    <row r="132" spans="1:5" x14ac:dyDescent="0.25">
      <c r="A132" s="54">
        <v>2000562000000</v>
      </c>
      <c r="B132" s="22" t="str">
        <v>VÅRLØK BNT / SCALLIONS PCS</v>
      </c>
      <c r="C132" s="32">
        <v>0</v>
      </c>
      <c r="D132" s="32" t="str">
        <v>STK/PCS</v>
      </c>
      <c r="E132" s="170">
        <v>12049530</v>
      </c>
    </row>
    <row r="133" spans="1:5" x14ac:dyDescent="0.25">
      <c r="A133" s="54">
        <v>0</v>
      </c>
      <c r="B133" s="22" t="str">
        <v>LEDIG</v>
      </c>
      <c r="C133" s="32">
        <v>0</v>
      </c>
      <c r="D133" s="32">
        <v>0</v>
      </c>
      <c r="E133" s="170">
        <v>0</v>
      </c>
    </row>
    <row r="134" spans="1:5" x14ac:dyDescent="0.25">
      <c r="A134" s="54">
        <v>0</v>
      </c>
      <c r="B134" s="22" t="str">
        <v>LEDIG</v>
      </c>
      <c r="C134" s="32">
        <v>0</v>
      </c>
      <c r="D134" s="32">
        <v>0</v>
      </c>
      <c r="E134" s="170">
        <v>0</v>
      </c>
    </row>
    <row r="135" spans="1:5" x14ac:dyDescent="0.25">
      <c r="A135" s="54">
        <v>0</v>
      </c>
      <c r="B135" s="22" t="str">
        <v>LEDIG</v>
      </c>
      <c r="C135" s="32">
        <v>0</v>
      </c>
      <c r="D135" s="32">
        <v>0</v>
      </c>
      <c r="E135" s="170">
        <v>0</v>
      </c>
    </row>
    <row r="136" spans="1:5" x14ac:dyDescent="0.25">
      <c r="A136" s="54">
        <v>0</v>
      </c>
      <c r="B136" s="22" t="str">
        <v>LEDIG</v>
      </c>
      <c r="C136" s="32">
        <v>0</v>
      </c>
      <c r="D136" s="32">
        <v>0</v>
      </c>
      <c r="E136" s="170">
        <v>0</v>
      </c>
    </row>
    <row r="137" spans="1:5" x14ac:dyDescent="0.25">
      <c r="A137" s="54">
        <v>0</v>
      </c>
      <c r="B137" s="22" t="str">
        <v>LEDIG</v>
      </c>
      <c r="C137" s="32">
        <v>0</v>
      </c>
      <c r="D137" s="32">
        <v>0</v>
      </c>
      <c r="E137" s="170">
        <v>0</v>
      </c>
    </row>
    <row r="138" spans="1:5" x14ac:dyDescent="0.25">
      <c r="A138" s="54"/>
      <c r="B138" s="22"/>
      <c r="C138" s="32"/>
      <c r="D138" s="32"/>
      <c r="E138" s="170"/>
    </row>
    <row r="139" spans="1:5" x14ac:dyDescent="0.25">
      <c r="A139" s="54"/>
      <c r="B139" s="22"/>
      <c r="C139" s="32"/>
      <c r="D139" s="32"/>
      <c r="E139" s="170"/>
    </row>
    <row r="140" spans="1:5" x14ac:dyDescent="0.25">
      <c r="A140" s="54"/>
      <c r="B140" s="22"/>
      <c r="C140" s="32"/>
      <c r="D140" s="32"/>
      <c r="E140" s="170"/>
    </row>
    <row r="141" spans="1:5" x14ac:dyDescent="0.25">
      <c r="A141" s="54"/>
      <c r="B141" s="22"/>
      <c r="C141" s="32"/>
      <c r="D141" s="32"/>
      <c r="E141" s="170"/>
    </row>
    <row r="142" spans="1:5" x14ac:dyDescent="0.25">
      <c r="A142" s="54"/>
      <c r="B142" s="22"/>
      <c r="C142" s="32"/>
      <c r="D142" s="32"/>
      <c r="E142" s="170"/>
    </row>
    <row r="143" spans="1:5" x14ac:dyDescent="0.25">
      <c r="A143" s="54"/>
      <c r="B143" s="22"/>
      <c r="C143" s="32"/>
      <c r="D143" s="32"/>
      <c r="E143" s="170"/>
    </row>
    <row r="144" spans="1:5" x14ac:dyDescent="0.25">
      <c r="A144" s="54"/>
      <c r="B144" s="22"/>
      <c r="C144" s="32"/>
      <c r="D144" s="32"/>
      <c r="E144" s="170"/>
    </row>
    <row r="145" spans="1:5" x14ac:dyDescent="0.25">
      <c r="A145" s="55" t="e" cm="1" vm="3">
        <f t="array" aca="1" ref="A145" ca="1">Tabell2[[EAN]:[STK/PCS/KG]]</f>
        <v>#VALUE!</v>
      </c>
      <c r="B145" s="23"/>
      <c r="C145" s="33"/>
      <c r="D145" s="33"/>
      <c r="E145" s="170" t="e" cm="1" vm="4">
        <f t="array" aca="1" ref="E145" ca="1">Tabell2[V.NR KRAEMER]</f>
        <v>#VALUE!</v>
      </c>
    </row>
    <row r="146" spans="1:5" x14ac:dyDescent="0.25">
      <c r="A146" s="55"/>
      <c r="B146" s="23"/>
      <c r="C146" s="33"/>
      <c r="D146" s="33"/>
      <c r="E146" s="170"/>
    </row>
    <row r="147" spans="1:5" x14ac:dyDescent="0.25">
      <c r="A147" s="55"/>
      <c r="B147" s="23"/>
      <c r="C147" s="33"/>
      <c r="D147" s="33"/>
      <c r="E147" s="170"/>
    </row>
    <row r="148" spans="1:5" x14ac:dyDescent="0.25">
      <c r="A148" s="55"/>
      <c r="B148" s="23"/>
      <c r="C148" s="33"/>
      <c r="D148" s="33"/>
      <c r="E148" s="170"/>
    </row>
    <row r="149" spans="1:5" x14ac:dyDescent="0.25">
      <c r="A149" s="55"/>
      <c r="B149" s="23"/>
      <c r="C149" s="33"/>
      <c r="D149" s="33"/>
      <c r="E149" s="170"/>
    </row>
    <row r="150" spans="1:5" x14ac:dyDescent="0.25">
      <c r="A150" s="55"/>
      <c r="B150" s="23"/>
      <c r="C150" s="33"/>
      <c r="D150" s="33"/>
      <c r="E150" s="170"/>
    </row>
    <row r="151" spans="1:5" x14ac:dyDescent="0.25">
      <c r="A151" s="55"/>
      <c r="B151" s="23"/>
      <c r="C151" s="33"/>
      <c r="D151" s="33"/>
      <c r="E151" s="170"/>
    </row>
    <row r="152" spans="1:5" x14ac:dyDescent="0.25">
      <c r="A152" s="55"/>
      <c r="B152" s="23"/>
      <c r="C152" s="33"/>
      <c r="D152" s="33"/>
      <c r="E152" s="170"/>
    </row>
    <row r="153" spans="1:5" x14ac:dyDescent="0.25">
      <c r="A153" s="55"/>
      <c r="B153" s="23"/>
      <c r="C153" s="33"/>
      <c r="D153" s="33"/>
      <c r="E153" s="170"/>
    </row>
    <row r="154" spans="1:5" x14ac:dyDescent="0.25">
      <c r="A154" s="55"/>
      <c r="B154" s="23"/>
      <c r="C154" s="33"/>
      <c r="D154" s="33"/>
      <c r="E154" s="170"/>
    </row>
    <row r="155" spans="1:5" x14ac:dyDescent="0.25">
      <c r="A155" s="55"/>
      <c r="B155" s="23"/>
      <c r="C155" s="33"/>
      <c r="D155" s="33"/>
      <c r="E155" s="170"/>
    </row>
    <row r="156" spans="1:5" x14ac:dyDescent="0.25">
      <c r="A156" s="55"/>
      <c r="B156" s="23"/>
      <c r="C156" s="33"/>
      <c r="D156" s="33"/>
      <c r="E156" s="170"/>
    </row>
    <row r="157" spans="1:5" x14ac:dyDescent="0.25">
      <c r="A157" s="55"/>
      <c r="B157" s="23"/>
      <c r="C157" s="33"/>
      <c r="D157" s="33"/>
      <c r="E157" s="170"/>
    </row>
    <row r="158" spans="1:5" x14ac:dyDescent="0.25">
      <c r="A158" s="55"/>
      <c r="B158" s="23"/>
      <c r="C158" s="33"/>
      <c r="D158" s="33"/>
      <c r="E158" s="170"/>
    </row>
    <row r="159" spans="1:5" x14ac:dyDescent="0.25">
      <c r="A159" s="55"/>
      <c r="B159" s="23"/>
      <c r="C159" s="33"/>
      <c r="D159" s="33"/>
      <c r="E159" s="170"/>
    </row>
    <row r="160" spans="1:5" x14ac:dyDescent="0.25">
      <c r="A160" s="55"/>
      <c r="B160" s="23"/>
      <c r="C160" s="33"/>
      <c r="D160" s="33"/>
      <c r="E160" s="170"/>
    </row>
    <row r="161" spans="1:5" x14ac:dyDescent="0.25">
      <c r="A161" s="55"/>
      <c r="B161" s="23"/>
      <c r="C161" s="33"/>
      <c r="D161" s="33"/>
      <c r="E161" s="170"/>
    </row>
    <row r="162" spans="1:5" x14ac:dyDescent="0.25">
      <c r="A162" s="55"/>
      <c r="B162" s="23"/>
      <c r="C162" s="33"/>
      <c r="D162" s="33"/>
      <c r="E162" s="170"/>
    </row>
    <row r="163" spans="1:5" x14ac:dyDescent="0.25">
      <c r="A163" s="55"/>
      <c r="B163" s="23"/>
      <c r="C163" s="33"/>
      <c r="D163" s="33"/>
      <c r="E163" s="170"/>
    </row>
    <row r="164" spans="1:5" x14ac:dyDescent="0.25">
      <c r="A164" s="55"/>
      <c r="B164" s="23"/>
      <c r="C164" s="33"/>
      <c r="D164" s="33"/>
      <c r="E164" s="170"/>
    </row>
    <row r="165" spans="1:5" x14ac:dyDescent="0.25">
      <c r="A165" s="55"/>
      <c r="B165" s="23"/>
      <c r="C165" s="33"/>
      <c r="D165" s="33"/>
      <c r="E165" s="170"/>
    </row>
    <row r="166" spans="1:5" x14ac:dyDescent="0.25">
      <c r="A166" s="55"/>
      <c r="B166" s="23"/>
      <c r="C166" s="33"/>
      <c r="D166" s="33"/>
      <c r="E166" s="170"/>
    </row>
    <row r="167" spans="1:5" x14ac:dyDescent="0.25">
      <c r="A167" s="55"/>
      <c r="B167" s="23"/>
      <c r="C167" s="33"/>
      <c r="D167" s="33"/>
      <c r="E167" s="170"/>
    </row>
    <row r="168" spans="1:5" x14ac:dyDescent="0.25">
      <c r="A168" s="55"/>
      <c r="B168" s="23"/>
      <c r="C168" s="33"/>
      <c r="D168" s="33"/>
      <c r="E168" s="170"/>
    </row>
    <row r="169" spans="1:5" x14ac:dyDescent="0.25">
      <c r="A169" s="55"/>
      <c r="B169" s="23"/>
      <c r="C169" s="33"/>
      <c r="D169" s="33"/>
      <c r="E169" s="170"/>
    </row>
    <row r="170" spans="1:5" x14ac:dyDescent="0.25">
      <c r="A170" s="56" cm="1">
        <f t="array" ref="A170:D193">Tabell3[[EAN]:[STK/PCS/KG]]</f>
        <v>8712275101574</v>
      </c>
      <c r="B170" s="24" t="str">
        <v>LANGTIDSHOLDBAR MELK 1,5% / LONGLIFE MILK 1,5%</v>
      </c>
      <c r="C170" s="34">
        <v>0</v>
      </c>
      <c r="D170" s="34" t="str">
        <v>STK/PCS</v>
      </c>
      <c r="E170" s="170" cm="1">
        <f t="array" ref="E170:E193">Tabell3[V.NR KRAEMER]</f>
        <v>10055</v>
      </c>
    </row>
    <row r="171" spans="1:5" x14ac:dyDescent="0.25">
      <c r="A171" s="56">
        <v>8712275101567</v>
      </c>
      <c r="B171" s="24" t="str">
        <v>LANGTIDSHOLDBAR MELK 3,5% / LONGLIFE MILK 3,5%</v>
      </c>
      <c r="C171" s="34">
        <v>0</v>
      </c>
      <c r="D171" s="34" t="str">
        <v>STK/PCS</v>
      </c>
      <c r="E171" s="170">
        <v>10054</v>
      </c>
    </row>
    <row r="172" spans="1:5" x14ac:dyDescent="0.25">
      <c r="A172" s="56">
        <v>5413209990969</v>
      </c>
      <c r="B172" s="24" t="str">
        <v>LANGTIDSHOLDBAR FLØTE 35% / LONGLIFE CREAM 35%</v>
      </c>
      <c r="C172" s="34">
        <v>0</v>
      </c>
      <c r="D172" s="34" t="str">
        <v>STK/PCS</v>
      </c>
      <c r="E172" s="170">
        <v>10056</v>
      </c>
    </row>
    <row r="173" spans="1:5" x14ac:dyDescent="0.25">
      <c r="A173" s="56">
        <v>4045500011770</v>
      </c>
      <c r="B173" s="24" t="str">
        <v>LANGTIDSHOLDBAR RØMME 1L / LONGLIFE SOUR CREAM 1L</v>
      </c>
      <c r="C173" s="34">
        <v>0</v>
      </c>
      <c r="D173" s="34" t="str">
        <v>STK/PCS</v>
      </c>
      <c r="E173" s="170">
        <v>10872</v>
      </c>
    </row>
    <row r="174" spans="1:5" x14ac:dyDescent="0.25">
      <c r="A174" s="56">
        <v>7038010002526</v>
      </c>
      <c r="B174" s="24" t="str">
        <v>LETTMELK BIB 10L / FRESH MILK 10L BAG IN BOX</v>
      </c>
      <c r="C174" s="34">
        <v>0</v>
      </c>
      <c r="D174" s="34" t="str">
        <v>STK/PCS</v>
      </c>
      <c r="E174" s="170">
        <v>1402007</v>
      </c>
    </row>
    <row r="175" spans="1:5" x14ac:dyDescent="0.25">
      <c r="A175" s="56">
        <v>7392672104500</v>
      </c>
      <c r="B175" s="24" t="str">
        <v>GRESK YOGHURT 1KG / GREEK YOGHURT 1KG</v>
      </c>
      <c r="C175" s="34">
        <v>0</v>
      </c>
      <c r="D175" s="34" t="str">
        <v>STK/PCS</v>
      </c>
      <c r="E175" s="170">
        <v>1305762</v>
      </c>
    </row>
    <row r="176" spans="1:5" x14ac:dyDescent="0.25">
      <c r="A176" s="56">
        <v>7038010063879</v>
      </c>
      <c r="B176" s="24" t="str">
        <v>YOGHURT NATURELL 1KG / YOGHURT NATURELL 1KG</v>
      </c>
      <c r="C176" s="34">
        <v>0</v>
      </c>
      <c r="D176" s="34" t="str">
        <v>STK/PCS</v>
      </c>
      <c r="E176" s="170">
        <v>0</v>
      </c>
    </row>
    <row r="177" spans="1:5" x14ac:dyDescent="0.25">
      <c r="A177" s="56">
        <v>7038010063862</v>
      </c>
      <c r="B177" s="24" t="str">
        <v>YOGHURT VANILJE 1KG / YOGHURT VANILLA 1KG</v>
      </c>
      <c r="C177" s="34">
        <v>0</v>
      </c>
      <c r="D177" s="34" t="str">
        <v>STK/PCS</v>
      </c>
      <c r="E177" s="170">
        <v>0</v>
      </c>
    </row>
    <row r="178" spans="1:5" x14ac:dyDescent="0.25">
      <c r="A178" s="56">
        <v>7038010063886</v>
      </c>
      <c r="B178" s="24" t="str">
        <v>YOGHURT SKOGSBÆR 1KG / YOGHURT BERRIES 1KG</v>
      </c>
      <c r="C178" s="34">
        <v>0</v>
      </c>
      <c r="D178" s="34" t="str">
        <v>STK/PCS</v>
      </c>
      <c r="E178" s="170">
        <v>0</v>
      </c>
    </row>
    <row r="179" spans="1:5" x14ac:dyDescent="0.25">
      <c r="A179" s="56">
        <v>7038010006388</v>
      </c>
      <c r="B179" s="24" t="str">
        <v>YOGHURT SESSONG MIX 8PK / YOGHURT SEASON MIX 8PK</v>
      </c>
      <c r="C179" s="34">
        <v>0</v>
      </c>
      <c r="D179" s="34" t="str">
        <v>STK/PCS</v>
      </c>
      <c r="E179" s="170">
        <v>0</v>
      </c>
    </row>
    <row r="180" spans="1:5" x14ac:dyDescent="0.25">
      <c r="A180" s="56">
        <v>7038010070396</v>
      </c>
      <c r="B180" s="24" t="str">
        <v>YOGHURT JORDBÆR 1KG / YOGHURT STRAWBERRIES 1KG</v>
      </c>
      <c r="C180" s="34">
        <v>0</v>
      </c>
      <c r="D180" s="34" t="str">
        <v>STK/PCS</v>
      </c>
      <c r="E180" s="170">
        <v>0</v>
      </c>
    </row>
    <row r="181" spans="1:5" x14ac:dyDescent="0.25">
      <c r="A181" s="56">
        <v>7038010062735</v>
      </c>
      <c r="B181" s="24" t="str">
        <v>YOGHURT MANGO/PASJON 850G / YOGHURT MANGO/PASSION 850G</v>
      </c>
      <c r="C181" s="34">
        <v>0</v>
      </c>
      <c r="D181" s="34" t="str">
        <v>STK/PCS</v>
      </c>
      <c r="E181" s="170">
        <v>0</v>
      </c>
    </row>
    <row r="182" spans="1:5" x14ac:dyDescent="0.25">
      <c r="A182" s="56">
        <v>7038010070402</v>
      </c>
      <c r="B182" s="24" t="str">
        <v>YOGHURT SITRON/LIME 1KG / YOGHURT LEMON/LIME 1KG</v>
      </c>
      <c r="C182" s="34">
        <v>0</v>
      </c>
      <c r="D182" s="34" t="str">
        <v>STK/PCS</v>
      </c>
      <c r="E182" s="170">
        <v>0</v>
      </c>
    </row>
    <row r="183" spans="1:5" x14ac:dyDescent="0.25">
      <c r="A183" s="56">
        <v>7038010572111</v>
      </c>
      <c r="B183" s="24" t="str">
        <v>KYBOS 2,5KG / KYBOS "FETA" 2,5KG</v>
      </c>
      <c r="C183" s="34">
        <v>0</v>
      </c>
      <c r="D183" s="34" t="str">
        <v>STK/PCS</v>
      </c>
      <c r="E183" s="170">
        <v>0</v>
      </c>
    </row>
    <row r="184" spans="1:5" x14ac:dyDescent="0.25">
      <c r="A184" s="56">
        <v>7036110009698</v>
      </c>
      <c r="B184" s="24" t="str">
        <v>MELANGE 500G / PLANTBASED BUTTER 500G</v>
      </c>
      <c r="C184" s="34">
        <v>0</v>
      </c>
      <c r="D184" s="34" t="str">
        <v>STK/PCS</v>
      </c>
      <c r="E184" s="170">
        <v>4670238</v>
      </c>
    </row>
    <row r="185" spans="1:5" x14ac:dyDescent="0.25">
      <c r="A185" s="56">
        <v>7038010010187</v>
      </c>
      <c r="B185" s="24" t="str">
        <v>SMØR NORMALSALTET 500G / BUTTER SALTED 500G</v>
      </c>
      <c r="C185" s="34">
        <v>0</v>
      </c>
      <c r="D185" s="34" t="str">
        <v>STK/PCS</v>
      </c>
      <c r="E185" s="170">
        <v>545657</v>
      </c>
    </row>
    <row r="186" spans="1:5" x14ac:dyDescent="0.25">
      <c r="A186" s="56">
        <v>4000339697908</v>
      </c>
      <c r="B186" s="24" t="str">
        <v>PHILADELFIA NATURELL 200G / CREAM CHEESE 200G</v>
      </c>
      <c r="C186" s="34">
        <v>0</v>
      </c>
      <c r="D186" s="34" t="str">
        <v>STK/PCS</v>
      </c>
      <c r="E186" s="170">
        <v>474585</v>
      </c>
    </row>
    <row r="187" spans="1:5" x14ac:dyDescent="0.25">
      <c r="A187" s="56">
        <v>5708356004424</v>
      </c>
      <c r="B187" s="24" t="str">
        <v>GOUDA SKIVET 900G / GOUDA SLICED 900G</v>
      </c>
      <c r="C187" s="34">
        <v>0</v>
      </c>
      <c r="D187" s="34" t="str">
        <v>STK/PCS</v>
      </c>
      <c r="E187" s="170">
        <v>18070</v>
      </c>
    </row>
    <row r="188" spans="1:5" x14ac:dyDescent="0.25">
      <c r="A188" s="56">
        <v>7025110184344</v>
      </c>
      <c r="B188" s="24" t="str">
        <v>EGG 18PK /EGGS 18PK</v>
      </c>
      <c r="C188" s="34">
        <v>0</v>
      </c>
      <c r="D188" s="34" t="str">
        <v>STK/PCS</v>
      </c>
      <c r="E188" s="170">
        <v>0</v>
      </c>
    </row>
    <row r="189" spans="1:5" x14ac:dyDescent="0.25">
      <c r="A189" s="56">
        <v>5704025014649</v>
      </c>
      <c r="B189" s="24" t="str">
        <v>MON AMI BRIE 500G</v>
      </c>
      <c r="C189" s="34">
        <v>0</v>
      </c>
      <c r="D189" s="34" t="str">
        <v>STK/PCS</v>
      </c>
      <c r="E189" s="170">
        <v>0</v>
      </c>
    </row>
    <row r="190" spans="1:5" x14ac:dyDescent="0.25">
      <c r="A190" s="56">
        <v>8004603100794</v>
      </c>
      <c r="B190" s="24" t="str">
        <v>MASCARPONE 250G</v>
      </c>
      <c r="C190" s="34">
        <v>0</v>
      </c>
      <c r="D190" s="34" t="str">
        <v>STK/PCS</v>
      </c>
      <c r="E190" s="170">
        <v>0</v>
      </c>
    </row>
    <row r="191" spans="1:5" x14ac:dyDescent="0.25">
      <c r="A191" s="56">
        <v>7340191120143</v>
      </c>
      <c r="B191" s="24" t="str">
        <v>MOZZARELLA 125G</v>
      </c>
      <c r="C191" s="34">
        <v>0</v>
      </c>
      <c r="D191" s="34" t="str">
        <v>STK/PCS</v>
      </c>
      <c r="E191" s="170">
        <v>0</v>
      </c>
    </row>
    <row r="192" spans="1:5" x14ac:dyDescent="0.25">
      <c r="A192" s="56">
        <v>0</v>
      </c>
      <c r="B192" s="24" t="str">
        <v>LEDIG</v>
      </c>
      <c r="C192" s="34">
        <v>0</v>
      </c>
      <c r="D192" s="34">
        <v>0</v>
      </c>
      <c r="E192" s="170">
        <v>0</v>
      </c>
    </row>
    <row r="193" spans="1:5" x14ac:dyDescent="0.25">
      <c r="A193" s="56">
        <v>0</v>
      </c>
      <c r="B193" s="24" t="str">
        <v>LEDIG</v>
      </c>
      <c r="C193" s="34">
        <v>0</v>
      </c>
      <c r="D193" s="34">
        <v>0</v>
      </c>
      <c r="E193" s="170">
        <v>0</v>
      </c>
    </row>
    <row r="194" spans="1:5" x14ac:dyDescent="0.25">
      <c r="A194" s="56"/>
      <c r="B194" s="24"/>
      <c r="C194" s="34"/>
      <c r="D194" s="34"/>
      <c r="E194" s="170"/>
    </row>
    <row r="195" spans="1:5" x14ac:dyDescent="0.25">
      <c r="A195" s="56"/>
      <c r="B195" s="24"/>
      <c r="C195" s="34"/>
      <c r="D195" s="34"/>
      <c r="E195" s="170"/>
    </row>
    <row r="196" spans="1:5" x14ac:dyDescent="0.25">
      <c r="A196" s="56"/>
      <c r="B196" s="24"/>
      <c r="C196" s="34"/>
      <c r="D196" s="34"/>
      <c r="E196" s="170"/>
    </row>
    <row r="197" spans="1:5" x14ac:dyDescent="0.25">
      <c r="A197" s="56"/>
      <c r="B197" s="24"/>
      <c r="C197" s="34"/>
      <c r="D197" s="34"/>
      <c r="E197" s="170"/>
    </row>
    <row r="198" spans="1:5" x14ac:dyDescent="0.25">
      <c r="A198" s="56"/>
      <c r="B198" s="24"/>
      <c r="C198" s="34"/>
      <c r="D198" s="34"/>
      <c r="E198" s="170"/>
    </row>
    <row r="199" spans="1:5" x14ac:dyDescent="0.25">
      <c r="A199" s="56"/>
      <c r="B199" s="24"/>
      <c r="C199" s="34"/>
      <c r="D199" s="34"/>
      <c r="E199" s="170"/>
    </row>
    <row r="200" spans="1:5" x14ac:dyDescent="0.25">
      <c r="A200" s="56"/>
      <c r="B200" s="24"/>
      <c r="C200" s="34"/>
      <c r="D200" s="34"/>
      <c r="E200" s="170"/>
    </row>
    <row r="201" spans="1:5" x14ac:dyDescent="0.25">
      <c r="A201" s="56"/>
      <c r="B201" s="24"/>
      <c r="C201" s="34"/>
      <c r="D201" s="34"/>
      <c r="E201" s="170"/>
    </row>
    <row r="202" spans="1:5" x14ac:dyDescent="0.25">
      <c r="A202" s="57" cm="1">
        <f t="array" ref="A202:D228">Tabell4[[EAN]:[STK/PCS/KG]]</f>
        <v>7037204742125</v>
      </c>
      <c r="B202" s="25" t="str">
        <v>KOKT SKINKE 150G / COOKED HAM 150G</v>
      </c>
      <c r="C202" s="35">
        <v>0</v>
      </c>
      <c r="D202" s="35" t="str">
        <v>STK/PCS</v>
      </c>
      <c r="E202" s="170" cm="1">
        <f t="array" ref="E202:E228">Tabell4[V.NR KRAEMER]</f>
        <v>4566915</v>
      </c>
    </row>
    <row r="203" spans="1:5" x14ac:dyDescent="0.25">
      <c r="A203" s="57">
        <v>7058040614704</v>
      </c>
      <c r="B203" s="25" t="str">
        <v>JUBELSALAMI 170G / SALAMI 170G</v>
      </c>
      <c r="C203" s="35">
        <v>0</v>
      </c>
      <c r="D203" s="35" t="str">
        <v>STK/PCS</v>
      </c>
      <c r="E203" s="170">
        <v>5452073</v>
      </c>
    </row>
    <row r="204" spans="1:5" x14ac:dyDescent="0.25">
      <c r="A204" s="57">
        <v>7037204740640</v>
      </c>
      <c r="B204" s="25" t="str">
        <v>ROASTBIFF 100G / ROASTBEEF 100G</v>
      </c>
      <c r="C204" s="35">
        <v>0</v>
      </c>
      <c r="D204" s="35" t="str">
        <v>STK/PCS</v>
      </c>
      <c r="E204" s="170">
        <v>4569158</v>
      </c>
    </row>
    <row r="205" spans="1:5" x14ac:dyDescent="0.25">
      <c r="A205" s="57">
        <v>8016451012006</v>
      </c>
      <c r="B205" s="25" t="str">
        <v>TANZI PARMASKINKE 200G / PARMAHAM 200G</v>
      </c>
      <c r="C205" s="35">
        <v>0</v>
      </c>
      <c r="D205" s="35" t="str">
        <v>STK/PCS</v>
      </c>
      <c r="E205" s="170">
        <v>712265</v>
      </c>
    </row>
    <row r="206" spans="1:5" x14ac:dyDescent="0.25">
      <c r="A206" s="57">
        <v>7037204771323</v>
      </c>
      <c r="B206" s="25" t="str">
        <v>CHORIZO 130G SKIVET / CHORIZO SLICED 130G</v>
      </c>
      <c r="C206" s="35">
        <v>0</v>
      </c>
      <c r="D206" s="35" t="str">
        <v>STK/PCS</v>
      </c>
      <c r="E206" s="170">
        <v>4739637</v>
      </c>
    </row>
    <row r="207" spans="1:5" x14ac:dyDescent="0.25">
      <c r="A207" s="57">
        <v>7037204191428</v>
      </c>
      <c r="B207" s="25" t="str">
        <v>PEPPERONI 130G SKIVET / PEPPERONI SLICED 130G</v>
      </c>
      <c r="C207" s="35">
        <v>0</v>
      </c>
      <c r="D207" s="35" t="str">
        <v>STK/PCS</v>
      </c>
      <c r="E207" s="170">
        <v>1659648</v>
      </c>
    </row>
    <row r="208" spans="1:5" x14ac:dyDescent="0.25">
      <c r="A208" s="57">
        <v>7023539700718</v>
      </c>
      <c r="B208" s="25" t="str">
        <v>RØKT LAKS 260G / SMOKED SALMON 260G</v>
      </c>
      <c r="C208" s="35">
        <v>0</v>
      </c>
      <c r="D208" s="35" t="str">
        <v>STK/PCS</v>
      </c>
      <c r="E208" s="170">
        <v>5360763</v>
      </c>
    </row>
    <row r="209" spans="1:5" x14ac:dyDescent="0.25">
      <c r="A209" s="57">
        <v>7038420002109</v>
      </c>
      <c r="B209" s="25" t="str">
        <v>KLIPPFISK DYPVIK 400G / CLIPFISH / DRY COD  400G</v>
      </c>
      <c r="C209" s="35">
        <v>0</v>
      </c>
      <c r="D209" s="35" t="str">
        <v>STK/PCS</v>
      </c>
      <c r="E209" s="170">
        <v>4961843</v>
      </c>
    </row>
    <row r="210" spans="1:5" x14ac:dyDescent="0.25">
      <c r="A210" s="57">
        <v>7090007553817</v>
      </c>
      <c r="B210" s="25" t="str">
        <v>REIN SPEKESNAKK 25G / REINDEER SNACK 25G</v>
      </c>
      <c r="C210" s="35">
        <v>0</v>
      </c>
      <c r="D210" s="35" t="str">
        <v>STK/PCS</v>
      </c>
      <c r="E210" s="170">
        <v>2435014</v>
      </c>
    </row>
    <row r="211" spans="1:5" x14ac:dyDescent="0.25">
      <c r="A211" s="57">
        <v>0</v>
      </c>
      <c r="B211" s="25" t="str">
        <v>TORSK LOIN / COD LOIN</v>
      </c>
      <c r="C211" s="35">
        <v>0</v>
      </c>
      <c r="D211" s="35" t="str">
        <v>KG</v>
      </c>
      <c r="E211" s="170">
        <v>0</v>
      </c>
    </row>
    <row r="212" spans="1:5" x14ac:dyDescent="0.25">
      <c r="A212" s="57">
        <v>2223</v>
      </c>
      <c r="B212" s="25" t="str">
        <v>TORSK FILET / COD FILET</v>
      </c>
      <c r="C212" s="35">
        <v>0</v>
      </c>
      <c r="D212" s="35" t="str">
        <v>KG</v>
      </c>
      <c r="E212" s="170">
        <v>0</v>
      </c>
    </row>
    <row r="213" spans="1:5" x14ac:dyDescent="0.25">
      <c r="A213" s="57">
        <v>2004</v>
      </c>
      <c r="B213" s="25" t="str">
        <v>LAKS FILET / SALMON FILET</v>
      </c>
      <c r="C213" s="35">
        <v>0</v>
      </c>
      <c r="D213" s="35" t="str">
        <v>KG</v>
      </c>
      <c r="E213" s="170">
        <v>0</v>
      </c>
    </row>
    <row r="214" spans="1:5" x14ac:dyDescent="0.25">
      <c r="A214" s="57">
        <v>1915</v>
      </c>
      <c r="B214" s="25" t="str">
        <v>HYSE FILET / HADDOCK FILET</v>
      </c>
      <c r="C214" s="35">
        <v>0</v>
      </c>
      <c r="D214" s="35" t="str">
        <v>KG</v>
      </c>
      <c r="E214" s="170">
        <v>0</v>
      </c>
    </row>
    <row r="215" spans="1:5" x14ac:dyDescent="0.25">
      <c r="A215" s="57">
        <v>1910</v>
      </c>
      <c r="B215" s="25" t="str">
        <v>SEI FILET / POLLOCK FILET</v>
      </c>
      <c r="C215" s="35">
        <v>0</v>
      </c>
      <c r="D215" s="35" t="str">
        <v>KG</v>
      </c>
      <c r="E215" s="170">
        <v>0</v>
      </c>
    </row>
    <row r="216" spans="1:5" x14ac:dyDescent="0.25">
      <c r="A216" s="57">
        <v>1977</v>
      </c>
      <c r="B216" s="25" t="str">
        <v>BLÅSKJELL / MUSSELS</v>
      </c>
      <c r="C216" s="35">
        <v>0</v>
      </c>
      <c r="D216" s="35" t="str">
        <v>KG</v>
      </c>
      <c r="E216" s="170">
        <v>0</v>
      </c>
    </row>
    <row r="217" spans="1:5" x14ac:dyDescent="0.25">
      <c r="A217" s="57">
        <v>1970</v>
      </c>
      <c r="B217" s="25" t="str">
        <v>REKER / SHRIMPS</v>
      </c>
      <c r="C217" s="35">
        <v>0</v>
      </c>
      <c r="D217" s="35" t="str">
        <v>KG</v>
      </c>
      <c r="E217" s="170">
        <v>0</v>
      </c>
    </row>
    <row r="218" spans="1:5" x14ac:dyDescent="0.25">
      <c r="A218" s="57">
        <v>2046</v>
      </c>
      <c r="B218" s="25" t="str">
        <v>KVEITE HEL / HALIBUT WHOLE</v>
      </c>
      <c r="C218" s="35">
        <v>0</v>
      </c>
      <c r="D218" s="35" t="str">
        <v>KG</v>
      </c>
      <c r="E218" s="170">
        <v>0</v>
      </c>
    </row>
    <row r="219" spans="1:5" x14ac:dyDescent="0.25">
      <c r="A219" s="57">
        <v>2046</v>
      </c>
      <c r="B219" s="25" t="str">
        <v>KVEITE FILET / HALIBUT FILET</v>
      </c>
      <c r="C219" s="35">
        <v>0</v>
      </c>
      <c r="D219" s="35" t="str">
        <v>KG</v>
      </c>
      <c r="E219" s="170">
        <v>0</v>
      </c>
    </row>
    <row r="220" spans="1:5" x14ac:dyDescent="0.25">
      <c r="A220" s="57">
        <v>4989</v>
      </c>
      <c r="B220" s="25" t="str">
        <v>FLØTEGRATINERTE POTETER 2KG / GRATINATED POTATOES 2KG</v>
      </c>
      <c r="C220" s="35">
        <v>0</v>
      </c>
      <c r="D220" s="35" t="str">
        <v>KG</v>
      </c>
      <c r="E220" s="170">
        <v>1323724</v>
      </c>
    </row>
    <row r="221" spans="1:5" x14ac:dyDescent="0.25">
      <c r="A221" s="57">
        <v>4802</v>
      </c>
      <c r="B221" s="25" t="str">
        <v>KARBONADER 120G x 21STK / BEEF PATTY 120G x 21PCS</v>
      </c>
      <c r="C221" s="35">
        <v>0</v>
      </c>
      <c r="D221" s="35" t="str">
        <v>CRT</v>
      </c>
      <c r="E221" s="170">
        <v>4267415</v>
      </c>
    </row>
    <row r="222" spans="1:5" x14ac:dyDescent="0.25">
      <c r="A222" s="57">
        <v>4344</v>
      </c>
      <c r="B222" s="25" t="str">
        <v>LASAGNE 2KG / LASAGNE 2KG</v>
      </c>
      <c r="C222" s="35">
        <v>0</v>
      </c>
      <c r="D222" s="35" t="str">
        <v>KG</v>
      </c>
      <c r="E222" s="170">
        <v>4268538</v>
      </c>
    </row>
    <row r="223" spans="1:5" x14ac:dyDescent="0.25">
      <c r="A223" s="57">
        <v>4807</v>
      </c>
      <c r="B223" s="25" t="str">
        <v>KYLLINGSPYD / CHICKEN SCEWERS</v>
      </c>
      <c r="C223" s="35">
        <v>0</v>
      </c>
      <c r="D223" s="35" t="str">
        <v>KG</v>
      </c>
      <c r="E223" s="170">
        <v>3098282</v>
      </c>
    </row>
    <row r="224" spans="1:5" x14ac:dyDescent="0.25">
      <c r="A224" s="57">
        <v>0</v>
      </c>
      <c r="B224" s="25" t="str">
        <v>LEDIG</v>
      </c>
      <c r="C224" s="35">
        <v>0</v>
      </c>
      <c r="D224" s="35">
        <v>0</v>
      </c>
      <c r="E224" s="170">
        <v>0</v>
      </c>
    </row>
    <row r="225" spans="1:5" x14ac:dyDescent="0.25">
      <c r="A225" s="57">
        <v>0</v>
      </c>
      <c r="B225" s="25" t="str">
        <v>LEDIG</v>
      </c>
      <c r="C225" s="35">
        <v>0</v>
      </c>
      <c r="D225" s="35">
        <v>0</v>
      </c>
      <c r="E225" s="170">
        <v>0</v>
      </c>
    </row>
    <row r="226" spans="1:5" x14ac:dyDescent="0.25">
      <c r="A226" s="57">
        <v>0</v>
      </c>
      <c r="B226" s="25" t="str">
        <v>LEDIG</v>
      </c>
      <c r="C226" s="35">
        <v>0</v>
      </c>
      <c r="D226" s="35">
        <v>0</v>
      </c>
      <c r="E226" s="170">
        <v>0</v>
      </c>
    </row>
    <row r="227" spans="1:5" x14ac:dyDescent="0.25">
      <c r="A227" s="57">
        <v>0</v>
      </c>
      <c r="B227" s="25" t="str">
        <v>LEDIG</v>
      </c>
      <c r="C227" s="35">
        <v>0</v>
      </c>
      <c r="D227" s="35">
        <v>0</v>
      </c>
      <c r="E227" s="170">
        <v>0</v>
      </c>
    </row>
    <row r="228" spans="1:5" x14ac:dyDescent="0.25">
      <c r="A228" s="57">
        <v>0</v>
      </c>
      <c r="B228" s="25" t="str">
        <v>LEDIG</v>
      </c>
      <c r="C228" s="35">
        <v>0</v>
      </c>
      <c r="D228" s="35">
        <v>0</v>
      </c>
      <c r="E228" s="170">
        <v>0</v>
      </c>
    </row>
    <row r="229" spans="1:5" x14ac:dyDescent="0.25">
      <c r="A229" s="57"/>
      <c r="B229" s="25"/>
      <c r="C229" s="35"/>
      <c r="D229" s="35"/>
      <c r="E229" s="170"/>
    </row>
    <row r="230" spans="1:5" x14ac:dyDescent="0.25">
      <c r="A230" s="58" cm="1">
        <f t="array" ref="A230:D313">Tabell5[[EAN]:[STK/PCS/KG]]</f>
        <v>480057</v>
      </c>
      <c r="B230" s="26" t="str">
        <v>KJØTTDEIG 2,5KG / MINCE MEAT 2,5KG</v>
      </c>
      <c r="C230" s="36">
        <v>0</v>
      </c>
      <c r="D230" s="36" t="str">
        <v>STK/PCS</v>
      </c>
      <c r="E230" s="170" cm="1">
        <f t="array" ref="E230:E313">Tabell5[V.NR KRAEMER]</f>
        <v>16139</v>
      </c>
    </row>
    <row r="231" spans="1:5" x14ac:dyDescent="0.25">
      <c r="A231" s="58">
        <v>2000842700000</v>
      </c>
      <c r="B231" s="26" t="str">
        <v xml:space="preserve">SVIN INDREFILET / PORK TENDERLOIN </v>
      </c>
      <c r="C231" s="36">
        <v>0</v>
      </c>
      <c r="D231" s="36" t="str">
        <v>KG</v>
      </c>
      <c r="E231" s="170">
        <v>10106</v>
      </c>
    </row>
    <row r="232" spans="1:5" x14ac:dyDescent="0.25">
      <c r="A232" s="58">
        <v>2000482000000</v>
      </c>
      <c r="B232" s="26" t="str">
        <v>SVINENAKKE / PORK NECK</v>
      </c>
      <c r="C232" s="36">
        <v>0</v>
      </c>
      <c r="D232" s="36" t="str">
        <v>KG</v>
      </c>
      <c r="E232" s="170">
        <v>1964</v>
      </c>
    </row>
    <row r="233" spans="1:5" x14ac:dyDescent="0.25">
      <c r="A233" s="58">
        <v>7037204190384</v>
      </c>
      <c r="B233" s="26" t="str">
        <v>NAKKEKOTELETTER / PORK LOIN CHOP 1KG</v>
      </c>
      <c r="C233" s="36">
        <v>0</v>
      </c>
      <c r="D233" s="36" t="str">
        <v>STK/PCS</v>
      </c>
      <c r="E233" s="170">
        <v>1889</v>
      </c>
    </row>
    <row r="234" spans="1:5" x14ac:dyDescent="0.25">
      <c r="A234" s="58">
        <v>2000841100000</v>
      </c>
      <c r="B234" s="26" t="str">
        <v xml:space="preserve">SVINERIBBE KG / PORKBELLY </v>
      </c>
      <c r="C234" s="36">
        <v>0</v>
      </c>
      <c r="D234" s="36" t="str">
        <v>KG</v>
      </c>
      <c r="E234" s="170">
        <v>16669</v>
      </c>
    </row>
    <row r="235" spans="1:5" x14ac:dyDescent="0.25">
      <c r="A235" s="58">
        <v>2000333200000</v>
      </c>
      <c r="B235" s="26" t="str">
        <v>ENTRECOTE STORFE / ENTRECOTE</v>
      </c>
      <c r="C235" s="36">
        <v>0</v>
      </c>
      <c r="D235" s="36" t="str">
        <v>KG</v>
      </c>
      <c r="E235" s="170">
        <v>15464</v>
      </c>
    </row>
    <row r="236" spans="1:5" x14ac:dyDescent="0.25">
      <c r="A236" s="58">
        <v>2000824700000</v>
      </c>
      <c r="B236" s="26" t="str">
        <v>INDREFILET STORFE / BEEF TENDERLOIN</v>
      </c>
      <c r="C236" s="36">
        <v>0</v>
      </c>
      <c r="D236" s="36" t="str">
        <v>KG</v>
      </c>
      <c r="E236" s="170">
        <v>14806</v>
      </c>
    </row>
    <row r="237" spans="1:5" x14ac:dyDescent="0.25">
      <c r="A237" s="58">
        <v>7090013710013</v>
      </c>
      <c r="B237" s="26" t="str">
        <v>FINNBIFF 400G / REINDEER FOR STEW 400G</v>
      </c>
      <c r="C237" s="36">
        <v>0</v>
      </c>
      <c r="D237" s="36" t="str">
        <v>STK/PCS</v>
      </c>
      <c r="E237" s="170">
        <v>13724506</v>
      </c>
    </row>
    <row r="238" spans="1:5" x14ac:dyDescent="0.25">
      <c r="A238" s="58">
        <v>8711367630381</v>
      </c>
      <c r="B238" s="26" t="str">
        <v>BACON 400G / BACON 400G</v>
      </c>
      <c r="C238" s="36">
        <v>0</v>
      </c>
      <c r="D238" s="36" t="str">
        <v>STK/PCS</v>
      </c>
      <c r="E238" s="170">
        <v>16614</v>
      </c>
    </row>
    <row r="239" spans="1:5" x14ac:dyDescent="0.25">
      <c r="A239" s="58">
        <v>2000719000000</v>
      </c>
      <c r="B239" s="26" t="str">
        <v>KALKUNFILET / TURKEY FILET KG</v>
      </c>
      <c r="C239" s="36">
        <v>0</v>
      </c>
      <c r="D239" s="36" t="str">
        <v>KG</v>
      </c>
      <c r="E239" s="170">
        <v>17794</v>
      </c>
    </row>
    <row r="240" spans="1:5" x14ac:dyDescent="0.25">
      <c r="A240" s="58">
        <v>7898040081614</v>
      </c>
      <c r="B240" s="26" t="str">
        <v>KYLLINGBRYSTFILET 2,5KG / CHICKEN BREAST 2,5KG</v>
      </c>
      <c r="C240" s="36">
        <v>0</v>
      </c>
      <c r="D240" s="36" t="str">
        <v>STK/PCS</v>
      </c>
      <c r="E240" s="170">
        <v>1865</v>
      </c>
    </row>
    <row r="241" spans="1:5" x14ac:dyDescent="0.25">
      <c r="A241" s="58">
        <v>7300321338008</v>
      </c>
      <c r="B241" s="26" t="str">
        <v>KYLLINGLÅR 2,5KG / CHICKEN LEG 2,5KG</v>
      </c>
      <c r="C241" s="36">
        <v>0</v>
      </c>
      <c r="D241" s="36" t="str">
        <v>STK/PCS</v>
      </c>
      <c r="E241" s="170">
        <v>1867</v>
      </c>
    </row>
    <row r="242" spans="1:5" x14ac:dyDescent="0.25">
      <c r="A242" s="58">
        <v>5760725113274</v>
      </c>
      <c r="B242" s="26" t="str">
        <v>KYLLINGVINGER 2KG / CHICKEN WINGS 2KG</v>
      </c>
      <c r="C242" s="36">
        <v>0</v>
      </c>
      <c r="D242" s="36" t="str">
        <v>STK/PCS</v>
      </c>
      <c r="E242" s="170">
        <v>4329694</v>
      </c>
    </row>
    <row r="243" spans="1:5" x14ac:dyDescent="0.25">
      <c r="A243" s="58">
        <v>5760725207430</v>
      </c>
      <c r="B243" s="26" t="str">
        <v>HEL KYLLING 1,5KG / CHICKEN WHOLE 1,5KG</v>
      </c>
      <c r="C243" s="36">
        <v>0</v>
      </c>
      <c r="D243" s="36" t="str">
        <v>STK/PCS</v>
      </c>
      <c r="E243" s="170">
        <v>1864</v>
      </c>
    </row>
    <row r="244" spans="1:5" x14ac:dyDescent="0.25">
      <c r="A244" s="58">
        <v>2667209000000</v>
      </c>
      <c r="B244" s="26" t="str">
        <v>ANDELÅR 1KG / DUCKLEGS 1KG</v>
      </c>
      <c r="C244" s="36">
        <v>0</v>
      </c>
      <c r="D244" s="36" t="str">
        <v>KG</v>
      </c>
      <c r="E244" s="170">
        <v>2565224</v>
      </c>
    </row>
    <row r="245" spans="1:5" x14ac:dyDescent="0.25">
      <c r="A245" s="58">
        <v>2085930000000</v>
      </c>
      <c r="B245" s="26" t="str">
        <v>ANDEBRYST 4PK 1,2KG / DUCKBREAST 4PC 1,2KG</v>
      </c>
      <c r="C245" s="36">
        <v>0</v>
      </c>
      <c r="D245" s="36" t="str">
        <v>KG</v>
      </c>
      <c r="E245" s="170">
        <v>2565224</v>
      </c>
    </row>
    <row r="246" spans="1:5" x14ac:dyDescent="0.25">
      <c r="A246" s="58">
        <v>2001538000000</v>
      </c>
      <c r="B246" s="26" t="str">
        <v xml:space="preserve">SPARERIBS  SOUS VIDE / SPARERIBS PRECOOKED </v>
      </c>
      <c r="C246" s="36">
        <v>0</v>
      </c>
      <c r="D246" s="36" t="str">
        <v>KG</v>
      </c>
      <c r="E246" s="170">
        <v>17685</v>
      </c>
    </row>
    <row r="247" spans="1:5" x14ac:dyDescent="0.25">
      <c r="A247" s="58">
        <v>470999</v>
      </c>
      <c r="B247" s="26" t="str">
        <v>FROKOSTPØLSER 5KG / BREAKFAST SAUSAGE 5KG</v>
      </c>
      <c r="C247" s="36">
        <v>0</v>
      </c>
      <c r="D247" s="36" t="str">
        <v>STK/PCS</v>
      </c>
      <c r="E247" s="170">
        <v>16734</v>
      </c>
    </row>
    <row r="248" spans="1:5" x14ac:dyDescent="0.25">
      <c r="A248" s="58">
        <v>471007</v>
      </c>
      <c r="B248" s="26" t="str">
        <v>URTEPØLSER / HERB SAUSAGES</v>
      </c>
      <c r="C248" s="36">
        <v>0</v>
      </c>
      <c r="D248" s="36" t="str">
        <v>KG</v>
      </c>
      <c r="E248" s="170">
        <v>11187123</v>
      </c>
    </row>
    <row r="249" spans="1:5" x14ac:dyDescent="0.25">
      <c r="A249" s="58">
        <v>471006</v>
      </c>
      <c r="B249" s="26" t="str">
        <v xml:space="preserve">CHILI TAPASPØLSE 20G / CHILI TAPAS SAUSAGE </v>
      </c>
      <c r="C249" s="36">
        <v>0</v>
      </c>
      <c r="D249" s="36" t="str">
        <v>KG</v>
      </c>
      <c r="E249" s="170">
        <v>17032</v>
      </c>
    </row>
    <row r="250" spans="1:5" x14ac:dyDescent="0.25">
      <c r="A250" s="58">
        <v>2000241000000</v>
      </c>
      <c r="B250" s="26" t="str">
        <v>LAKS HEL FILET CA 2KG / SALMON FILET CA 2 KG</v>
      </c>
      <c r="C250" s="36">
        <v>0</v>
      </c>
      <c r="D250" s="36" t="str">
        <v>KG</v>
      </c>
      <c r="E250" s="170">
        <v>0</v>
      </c>
    </row>
    <row r="251" spans="1:5" x14ac:dyDescent="0.25">
      <c r="A251" s="58">
        <v>7340011450665</v>
      </c>
      <c r="B251" s="26" t="str">
        <v>TORSK LOIN 4 x 125G / COD LOIN 4 x 125G</v>
      </c>
      <c r="C251" s="36">
        <v>0</v>
      </c>
      <c r="D251" s="36" t="str">
        <v>STK/PCS</v>
      </c>
      <c r="E251" s="170">
        <v>0</v>
      </c>
    </row>
    <row r="252" spans="1:5" x14ac:dyDescent="0.25">
      <c r="A252" s="58">
        <v>7310500068770</v>
      </c>
      <c r="B252" s="26" t="str">
        <v>TORSKEFILET GOUMET 5KG / CODFILET 5KG</v>
      </c>
      <c r="C252" s="36">
        <v>0</v>
      </c>
      <c r="D252" s="36" t="str">
        <v>STK/PCS</v>
      </c>
      <c r="E252" s="170">
        <v>1663202</v>
      </c>
    </row>
    <row r="253" spans="1:5" x14ac:dyDescent="0.25">
      <c r="A253" s="58">
        <v>471022</v>
      </c>
      <c r="B253" s="26" t="str">
        <v>SEI CORDON BLEU 6,48KG / SEI CORDON BLUE 6,48KG</v>
      </c>
      <c r="C253" s="36">
        <v>0</v>
      </c>
      <c r="D253" s="36" t="str">
        <v>STK/PCS</v>
      </c>
      <c r="E253" s="170">
        <v>732487</v>
      </c>
    </row>
    <row r="254" spans="1:5" x14ac:dyDescent="0.25">
      <c r="A254" s="58">
        <v>27035620003473</v>
      </c>
      <c r="B254" s="26" t="str">
        <v>LAKS PORSJON UTEN SKINN 5KG / SALMON PORTION 5KG</v>
      </c>
      <c r="C254" s="36">
        <v>0</v>
      </c>
      <c r="D254" s="36" t="str">
        <v>STK/PCS</v>
      </c>
      <c r="E254" s="170">
        <v>3102092</v>
      </c>
    </row>
    <row r="255" spans="1:5" x14ac:dyDescent="0.25">
      <c r="A255" s="58">
        <v>7036260011664</v>
      </c>
      <c r="B255" s="26" t="str">
        <v>TORSKELOIN 5KG / COD LOIN 5KG</v>
      </c>
      <c r="C255" s="36">
        <v>0</v>
      </c>
      <c r="D255" s="36" t="str">
        <v>STK/PCS</v>
      </c>
      <c r="E255" s="170">
        <v>379438</v>
      </c>
    </row>
    <row r="256" spans="1:5" x14ac:dyDescent="0.25">
      <c r="A256" s="58">
        <v>97036260000760</v>
      </c>
      <c r="B256" s="26" t="str">
        <v>ISHAVSRØYEFILET 5KG / ARCTIC CHAR FILET 5KG</v>
      </c>
      <c r="C256" s="36">
        <v>0</v>
      </c>
      <c r="D256" s="36" t="str">
        <v>STK/PCS</v>
      </c>
      <c r="E256" s="170">
        <v>2094589</v>
      </c>
    </row>
    <row r="257" spans="1:5" x14ac:dyDescent="0.25">
      <c r="A257" s="58">
        <v>97033352096052</v>
      </c>
      <c r="B257" s="26" t="str">
        <v>LAKSEFILET MED SKINN 15KG / SALMON FILET 15KG</v>
      </c>
      <c r="C257" s="36">
        <v>0</v>
      </c>
      <c r="D257" s="36" t="str">
        <v>STK/PCS</v>
      </c>
      <c r="E257" s="170">
        <v>4732582</v>
      </c>
    </row>
    <row r="258" spans="1:5" x14ac:dyDescent="0.25">
      <c r="A258" s="58">
        <v>7036260116017</v>
      </c>
      <c r="B258" s="26" t="str">
        <v>BREIFLABBFILET 5KG / BREAMFILET 5KG</v>
      </c>
      <c r="C258" s="36">
        <v>0</v>
      </c>
      <c r="D258" s="36" t="str">
        <v>STK/PCS</v>
      </c>
      <c r="E258" s="170">
        <v>1525856</v>
      </c>
    </row>
    <row r="259" spans="1:5" x14ac:dyDescent="0.25">
      <c r="A259" s="58">
        <v>7036261015661</v>
      </c>
      <c r="B259" s="26" t="str">
        <v>STEINBIT PORSJON 5KG / CATFISH PORTION 5KG</v>
      </c>
      <c r="C259" s="36">
        <v>0</v>
      </c>
      <c r="D259" s="36" t="str">
        <v>STK/PCS</v>
      </c>
      <c r="E259" s="170">
        <v>1473453</v>
      </c>
    </row>
    <row r="260" spans="1:5" x14ac:dyDescent="0.25">
      <c r="A260" s="58">
        <v>7021430000883</v>
      </c>
      <c r="B260" s="26" t="str">
        <v>MAKRELLFILET 5KG / MACKEREL FILET 5KG</v>
      </c>
      <c r="C260" s="36">
        <v>0</v>
      </c>
      <c r="D260" s="36" t="str">
        <v>STK/PCS</v>
      </c>
      <c r="E260" s="170">
        <v>612275</v>
      </c>
    </row>
    <row r="261" spans="1:5" x14ac:dyDescent="0.25">
      <c r="A261" s="58">
        <v>7090010090064</v>
      </c>
      <c r="B261" s="26" t="str">
        <v>HVALBIFF 5KG / WHALE FILET 5KG</v>
      </c>
      <c r="C261" s="36">
        <v>0</v>
      </c>
      <c r="D261" s="36" t="str">
        <v>STK/PCS</v>
      </c>
      <c r="E261" s="170">
        <v>1834910</v>
      </c>
    </row>
    <row r="262" spans="1:5" x14ac:dyDescent="0.25">
      <c r="A262" s="58">
        <v>97090016861197</v>
      </c>
      <c r="B262" s="26" t="str">
        <v>KVEITESKIVER 5KG / HALIBUT SLICES 5KG</v>
      </c>
      <c r="C262" s="36">
        <v>0</v>
      </c>
      <c r="D262" s="36" t="str">
        <v>STK/PCS</v>
      </c>
      <c r="E262" s="170">
        <v>4930079</v>
      </c>
    </row>
    <row r="263" spans="1:5" x14ac:dyDescent="0.25">
      <c r="A263" s="58">
        <v>7036261156500</v>
      </c>
      <c r="B263" s="26" t="str">
        <v>HOKI LOINS PORSJON 5KG / HOKI LOIN PORTION 5KG</v>
      </c>
      <c r="C263" s="36">
        <v>0</v>
      </c>
      <c r="D263" s="36" t="str">
        <v>STK/PCS</v>
      </c>
      <c r="E263" s="170">
        <v>830695</v>
      </c>
    </row>
    <row r="264" spans="1:5" x14ac:dyDescent="0.25">
      <c r="A264" s="58">
        <v>7035620049224</v>
      </c>
      <c r="B264" s="26" t="str">
        <v>RØKELAKS SKIVER 1KG / SMOKED SALMON SLICED 1KG</v>
      </c>
      <c r="C264" s="36">
        <v>0</v>
      </c>
      <c r="D264" s="36" t="str">
        <v>KG</v>
      </c>
      <c r="E264" s="170">
        <v>3232733</v>
      </c>
    </row>
    <row r="265" spans="1:5" x14ac:dyDescent="0.25">
      <c r="A265" s="58">
        <v>7021450005110</v>
      </c>
      <c r="B265" s="26" t="str">
        <v>SEAFOOD MIX 400G / SEAFOOD MIX 400G</v>
      </c>
      <c r="C265" s="36">
        <v>0</v>
      </c>
      <c r="D265" s="36" t="str">
        <v>STK/PCS</v>
      </c>
      <c r="E265" s="170">
        <v>4993150</v>
      </c>
    </row>
    <row r="266" spans="1:5" x14ac:dyDescent="0.25">
      <c r="A266" s="58">
        <v>570771501196</v>
      </c>
      <c r="B266" s="26" t="str">
        <v>SCAMPI BLACK TIGER 1KG / SCAMPI BLACK TIGER 1KG</v>
      </c>
      <c r="C266" s="36">
        <v>0</v>
      </c>
      <c r="D266" s="36" t="str">
        <v>STK/PCS</v>
      </c>
      <c r="E266" s="170">
        <v>4227005</v>
      </c>
    </row>
    <row r="267" spans="1:5" x14ac:dyDescent="0.25">
      <c r="A267" s="58">
        <v>5702008130998</v>
      </c>
      <c r="B267" s="26" t="str">
        <v>AKKARTUBER 1KG / SQUID TUBES 1KG</v>
      </c>
      <c r="C267" s="36">
        <v>0</v>
      </c>
      <c r="D267" s="36" t="str">
        <v>STK/PCS</v>
      </c>
      <c r="E267" s="170">
        <v>0</v>
      </c>
    </row>
    <row r="268" spans="1:5" x14ac:dyDescent="0.25">
      <c r="A268" s="58">
        <v>7340011458081</v>
      </c>
      <c r="B268" s="26" t="str">
        <v>BROKKOLIBUKETTER 700G / BROCCOLITOPS 700G</v>
      </c>
      <c r="C268" s="36">
        <v>0</v>
      </c>
      <c r="D268" s="36" t="str">
        <v>STK/PCS</v>
      </c>
      <c r="E268" s="170">
        <v>17872</v>
      </c>
    </row>
    <row r="269" spans="1:5" x14ac:dyDescent="0.25">
      <c r="A269" s="58">
        <v>7026510116409</v>
      </c>
      <c r="B269" s="26" t="str">
        <v>BLOMKÅLBUKETTER 2KG /CAULIFLOWER 2KG</v>
      </c>
      <c r="C269" s="36">
        <v>0</v>
      </c>
      <c r="D269" s="36" t="str">
        <v>STK/PCS</v>
      </c>
      <c r="E269" s="170">
        <v>1817</v>
      </c>
    </row>
    <row r="270" spans="1:5" x14ac:dyDescent="0.25">
      <c r="A270" s="58">
        <v>7340011442851</v>
      </c>
      <c r="B270" s="26" t="str">
        <v>MINIGULROT 450G / MINI CARROTS 450G</v>
      </c>
      <c r="C270" s="36">
        <v>0</v>
      </c>
      <c r="D270" s="36" t="str">
        <v>STK/PCS</v>
      </c>
      <c r="E270" s="170">
        <v>0</v>
      </c>
    </row>
    <row r="271" spans="1:5" x14ac:dyDescent="0.25">
      <c r="A271" s="58">
        <v>7026510012343</v>
      </c>
      <c r="B271" s="26" t="str">
        <v>MINIGULROT 2,5KG / BABY CARROT 2,5KG</v>
      </c>
      <c r="C271" s="36">
        <v>0</v>
      </c>
      <c r="D271" s="36" t="str">
        <v>STK/PCS</v>
      </c>
      <c r="E271" s="170">
        <v>742429</v>
      </c>
    </row>
    <row r="272" spans="1:5" x14ac:dyDescent="0.25">
      <c r="A272" s="58">
        <v>7025110065407</v>
      </c>
      <c r="B272" s="26" t="str">
        <v>ERTER 800G / PEAS 800G</v>
      </c>
      <c r="C272" s="36">
        <v>0</v>
      </c>
      <c r="D272" s="36" t="str">
        <v>STK/PCS</v>
      </c>
      <c r="E272" s="170">
        <v>0</v>
      </c>
    </row>
    <row r="273" spans="1:5" x14ac:dyDescent="0.25">
      <c r="A273" s="58">
        <v>7026510119400</v>
      </c>
      <c r="B273" s="26" t="str">
        <v>ERTER 3KG / PEAS 3KG</v>
      </c>
      <c r="C273" s="36">
        <v>0</v>
      </c>
      <c r="D273" s="36" t="str">
        <v>STK/PCS</v>
      </c>
      <c r="E273" s="170">
        <v>968602</v>
      </c>
    </row>
    <row r="274" spans="1:5" x14ac:dyDescent="0.25">
      <c r="A274" s="58">
        <v>5413508028325</v>
      </c>
      <c r="B274" s="26" t="str">
        <v>SPINAT 2,5KG /SPINACH 2,5KG</v>
      </c>
      <c r="C274" s="36">
        <v>0</v>
      </c>
      <c r="D274" s="36" t="str">
        <v>STK/PCS</v>
      </c>
      <c r="E274" s="170">
        <v>18095</v>
      </c>
    </row>
    <row r="275" spans="1:5" x14ac:dyDescent="0.25">
      <c r="A275" s="58">
        <v>7026510186044</v>
      </c>
      <c r="B275" s="26" t="str">
        <v>SOPPBLANDING 250G / MIXED MUSHROOM 250G</v>
      </c>
      <c r="C275" s="36">
        <v>0</v>
      </c>
      <c r="D275" s="36" t="str">
        <v>STK/PCS</v>
      </c>
      <c r="E275" s="170">
        <v>1825</v>
      </c>
    </row>
    <row r="276" spans="1:5" x14ac:dyDescent="0.25">
      <c r="A276" s="58">
        <v>7026510177400</v>
      </c>
      <c r="B276" s="26" t="str">
        <v>WOK BLANDING 2,5KG / WOK MIX 2,5KG</v>
      </c>
      <c r="C276" s="36">
        <v>0</v>
      </c>
      <c r="D276" s="36" t="str">
        <v>STK/PCS</v>
      </c>
      <c r="E276" s="170">
        <v>0</v>
      </c>
    </row>
    <row r="277" spans="1:5" x14ac:dyDescent="0.25">
      <c r="A277" s="58">
        <v>7026510118403</v>
      </c>
      <c r="B277" s="26" t="str">
        <v>ASPARGESBØNNER 2,5KG / ASPARGUSBEANS 2,5KG</v>
      </c>
      <c r="C277" s="36">
        <v>0</v>
      </c>
      <c r="D277" s="36" t="str">
        <v>STK/PCS</v>
      </c>
      <c r="E277" s="170">
        <v>4527016</v>
      </c>
    </row>
    <row r="278" spans="1:5" x14ac:dyDescent="0.25">
      <c r="A278" s="58">
        <v>8716276000256</v>
      </c>
      <c r="B278" s="26" t="str">
        <v>LØKRINGER 1KG / ONION RINGS 1KG</v>
      </c>
      <c r="C278" s="36">
        <v>0</v>
      </c>
      <c r="D278" s="36" t="str">
        <v>STK/PCS</v>
      </c>
      <c r="E278" s="170">
        <v>0</v>
      </c>
    </row>
    <row r="279" spans="1:5" x14ac:dyDescent="0.25">
      <c r="A279" s="58">
        <v>8710449939329</v>
      </c>
      <c r="B279" s="26" t="str">
        <v>POMMES FRITES  2,5KG / POMMES 2,5KG</v>
      </c>
      <c r="C279" s="36">
        <v>0</v>
      </c>
      <c r="D279" s="36" t="str">
        <v>STK/PCS</v>
      </c>
      <c r="E279" s="170">
        <v>1899</v>
      </c>
    </row>
    <row r="280" spans="1:5" x14ac:dyDescent="0.25">
      <c r="A280" s="58">
        <v>7025110187383</v>
      </c>
      <c r="B280" s="26" t="str">
        <v>POMMES FAMIILY 1,8KG / POIMMES 1,8KG</v>
      </c>
      <c r="C280" s="36">
        <v>0</v>
      </c>
      <c r="D280" s="36" t="str">
        <v>STK/PCS</v>
      </c>
      <c r="E280" s="170">
        <v>0</v>
      </c>
    </row>
    <row r="281" spans="1:5" x14ac:dyDescent="0.25">
      <c r="A281" s="58">
        <v>7340011360377</v>
      </c>
      <c r="B281" s="26" t="str">
        <v>JORBÆR 500G / STRAWBERRIES 500G</v>
      </c>
      <c r="C281" s="36">
        <v>0</v>
      </c>
      <c r="D281" s="36" t="str">
        <v>STK/PCS</v>
      </c>
      <c r="E281" s="170">
        <v>17844</v>
      </c>
    </row>
    <row r="282" spans="1:5" x14ac:dyDescent="0.25">
      <c r="A282" s="58">
        <v>7340011465201</v>
      </c>
      <c r="B282" s="26" t="str">
        <v>BRINGEBÆR 400G / RASPBERRIES 400G</v>
      </c>
      <c r="C282" s="36">
        <v>0</v>
      </c>
      <c r="D282" s="36" t="str">
        <v>STK/PCS</v>
      </c>
      <c r="E282" s="170">
        <v>17843</v>
      </c>
    </row>
    <row r="283" spans="1:5" x14ac:dyDescent="0.25">
      <c r="A283" s="58">
        <v>7340011465218</v>
      </c>
      <c r="B283" s="26" t="str">
        <v>BJØRNEBÆR 400G / BLACKBERRIES 400G</v>
      </c>
      <c r="C283" s="36">
        <v>0</v>
      </c>
      <c r="D283" s="36" t="str">
        <v>STK/PCS</v>
      </c>
      <c r="E283" s="170">
        <v>18103</v>
      </c>
    </row>
    <row r="284" spans="1:5" x14ac:dyDescent="0.25">
      <c r="A284" s="58">
        <v>7340011465195</v>
      </c>
      <c r="B284" s="26" t="str">
        <v>BLÅBÆR 400G / BLUEBERRIES 400G</v>
      </c>
      <c r="C284" s="36">
        <v>0</v>
      </c>
      <c r="D284" s="36" t="str">
        <v>STK/PCS</v>
      </c>
      <c r="E284" s="170">
        <v>0</v>
      </c>
    </row>
    <row r="285" spans="1:5" x14ac:dyDescent="0.25">
      <c r="A285" s="58">
        <v>734001429203</v>
      </c>
      <c r="B285" s="26" t="str">
        <v>ANANAS 250G / PINEAPPLE 250G</v>
      </c>
      <c r="C285" s="36">
        <v>0</v>
      </c>
      <c r="D285" s="36" t="str">
        <v>STK/PCS</v>
      </c>
      <c r="E285" s="170">
        <v>0</v>
      </c>
    </row>
    <row r="286" spans="1:5" x14ac:dyDescent="0.25">
      <c r="A286" s="58">
        <v>7340011364672</v>
      </c>
      <c r="B286" s="26" t="str">
        <v>MANGO 300G / MANGO 300G</v>
      </c>
      <c r="C286" s="36">
        <v>0</v>
      </c>
      <c r="D286" s="36" t="str">
        <v>STK/PCS</v>
      </c>
      <c r="E286" s="170">
        <v>0</v>
      </c>
    </row>
    <row r="287" spans="1:5" x14ac:dyDescent="0.25">
      <c r="A287" s="58">
        <v>7026510016556</v>
      </c>
      <c r="B287" s="26" t="str">
        <v>TROPISK FRUKTBLANDING 2,5KG / TROPIC FRUIT 2,5KG</v>
      </c>
      <c r="C287" s="36">
        <v>0</v>
      </c>
      <c r="D287" s="36" t="str">
        <v>STK/PCS</v>
      </c>
      <c r="E287" s="170">
        <v>919431</v>
      </c>
    </row>
    <row r="288" spans="1:5" x14ac:dyDescent="0.25">
      <c r="A288" s="58">
        <v>7340011465188</v>
      </c>
      <c r="B288" s="26" t="str">
        <v>SKOGSBÆR 400G / FORREST BERRIES 400G</v>
      </c>
      <c r="C288" s="36">
        <v>0</v>
      </c>
      <c r="D288" s="36" t="str">
        <v>STK/PCS</v>
      </c>
      <c r="E288" s="170">
        <v>18096</v>
      </c>
    </row>
    <row r="289" spans="1:5" x14ac:dyDescent="0.25">
      <c r="A289" s="58">
        <v>7039611060755</v>
      </c>
      <c r="B289" s="26" t="str">
        <v>EGGEHVITE 5L FRYST / EGG WHITE 5L FROZEN</v>
      </c>
      <c r="C289" s="36">
        <v>0</v>
      </c>
      <c r="D289" s="36" t="str">
        <v>STK/PCS</v>
      </c>
      <c r="E289" s="170">
        <v>1564400</v>
      </c>
    </row>
    <row r="290" spans="1:5" x14ac:dyDescent="0.25">
      <c r="A290" s="58">
        <v>7039611060731</v>
      </c>
      <c r="B290" s="26" t="str">
        <v>EGGEPLOMMER 5L FRYST / EGG YOLKS 5L FROZEN</v>
      </c>
      <c r="C290" s="36">
        <v>0</v>
      </c>
      <c r="D290" s="36" t="str">
        <v>STK/PCS</v>
      </c>
      <c r="E290" s="170">
        <v>1565423</v>
      </c>
    </row>
    <row r="291" spans="1:5" x14ac:dyDescent="0.25">
      <c r="A291" s="58">
        <v>7039610060992</v>
      </c>
      <c r="B291" s="26" t="str">
        <v>OMELETTBLANDING 2,5KG / OMELETTEMIX 2,5KG</v>
      </c>
      <c r="C291" s="36">
        <v>0</v>
      </c>
      <c r="D291" s="36" t="str">
        <v>STK/PCS</v>
      </c>
      <c r="E291" s="170">
        <v>1761592</v>
      </c>
    </row>
    <row r="292" spans="1:5" x14ac:dyDescent="0.25">
      <c r="A292" s="58">
        <v>7041015400006</v>
      </c>
      <c r="B292" s="26" t="str">
        <v>ISKREM VANILJE  4,6L /VANILLA ICECREAM 4,6L</v>
      </c>
      <c r="C292" s="36">
        <v>0</v>
      </c>
      <c r="D292" s="36" t="str">
        <v>STK/PCS</v>
      </c>
      <c r="E292" s="170">
        <v>4762985</v>
      </c>
    </row>
    <row r="293" spans="1:5" x14ac:dyDescent="0.25">
      <c r="A293" s="58">
        <v>7041015020006</v>
      </c>
      <c r="B293" s="26" t="str">
        <v>ISKREM JORDBÆR 4,6L / STRAWBERRY ICECREAM 4,6L</v>
      </c>
      <c r="C293" s="36">
        <v>0</v>
      </c>
      <c r="D293" s="36" t="str">
        <v>STK/PCS</v>
      </c>
      <c r="E293" s="170">
        <v>2492668</v>
      </c>
    </row>
    <row r="294" spans="1:5" x14ac:dyDescent="0.25">
      <c r="A294" s="58">
        <v>7041015030005</v>
      </c>
      <c r="B294" s="26" t="str">
        <v>ISKREM SJOKOLADE 4,6L / CHOCOLATE ICECREAM 4,6l</v>
      </c>
      <c r="C294" s="36">
        <v>0</v>
      </c>
      <c r="D294" s="36" t="str">
        <v>STK/PCS</v>
      </c>
      <c r="E294" s="170">
        <v>2492676</v>
      </c>
    </row>
    <row r="295" spans="1:5" x14ac:dyDescent="0.25">
      <c r="A295" s="58">
        <v>7041015500003</v>
      </c>
      <c r="B295" s="26" t="str">
        <v>SORBET JORDBÆR  4,6L / STRAWBERRY SORBET 4,6L</v>
      </c>
      <c r="C295" s="36">
        <v>0</v>
      </c>
      <c r="D295" s="36" t="str">
        <v>STK/PCS</v>
      </c>
      <c r="E295" s="170">
        <v>2493120</v>
      </c>
    </row>
    <row r="296" spans="1:5" x14ac:dyDescent="0.25">
      <c r="A296" s="58">
        <v>7041015520001</v>
      </c>
      <c r="B296" s="26" t="str">
        <v>SORBET MANGO  4,6L / MANGO SORBET 4,6L</v>
      </c>
      <c r="C296" s="36">
        <v>0</v>
      </c>
      <c r="D296" s="36" t="str">
        <v>STK/PCS</v>
      </c>
      <c r="E296" s="170">
        <v>2493187</v>
      </c>
    </row>
    <row r="297" spans="1:5" x14ac:dyDescent="0.25">
      <c r="A297" s="58">
        <v>0</v>
      </c>
      <c r="B297" s="26" t="str">
        <v>SORBET SITRON 4,6L / LEMON SORBET 4,6L</v>
      </c>
      <c r="C297" s="36">
        <v>0</v>
      </c>
      <c r="D297" s="36" t="str">
        <v>STK/PCS</v>
      </c>
      <c r="E297" s="170">
        <v>0</v>
      </c>
    </row>
    <row r="298" spans="1:5" x14ac:dyDescent="0.25">
      <c r="A298" s="58">
        <v>3700478572203</v>
      </c>
      <c r="B298" s="26" t="str">
        <v>SJOKOLADEFONDANT 20STK / CHOCOLATE FONDANT 20PCS</v>
      </c>
      <c r="C298" s="36">
        <v>0</v>
      </c>
      <c r="D298" s="36" t="str">
        <v>CRT</v>
      </c>
      <c r="E298" s="170">
        <v>4517348</v>
      </c>
    </row>
    <row r="299" spans="1:5" x14ac:dyDescent="0.25">
      <c r="A299" s="58">
        <v>7020712018967</v>
      </c>
      <c r="B299" s="26" t="str">
        <v>CREME BRULEE 18STK / CREME BRULEE 18 PCS</v>
      </c>
      <c r="C299" s="36">
        <v>0</v>
      </c>
      <c r="D299" s="36" t="str">
        <v>CRT</v>
      </c>
      <c r="E299" s="170">
        <v>5453196</v>
      </c>
    </row>
    <row r="300" spans="1:5" x14ac:dyDescent="0.25">
      <c r="A300" s="58">
        <v>5413476933133</v>
      </c>
      <c r="B300" s="26" t="str">
        <v>BRINGEBÆRMOUSSE HALVKULE 12STK / RASPB. MOUSSE HALFMOON 12PCS</v>
      </c>
      <c r="C300" s="36">
        <v>0</v>
      </c>
      <c r="D300" s="36" t="str">
        <v>CRT</v>
      </c>
      <c r="E300" s="170">
        <v>5294483</v>
      </c>
    </row>
    <row r="301" spans="1:5" x14ac:dyDescent="0.25">
      <c r="A301" s="58">
        <v>5413476940230</v>
      </c>
      <c r="B301" s="26" t="str">
        <v>TIRAMISU MOUSSE BEGER 70G 20STK / TIRAMISU PORTION 20PCS</v>
      </c>
      <c r="C301" s="36">
        <v>0</v>
      </c>
      <c r="D301" s="36" t="str">
        <v>CRT</v>
      </c>
      <c r="E301" s="170">
        <v>5296611</v>
      </c>
    </row>
    <row r="302" spans="1:5" x14ac:dyDescent="0.25">
      <c r="A302" s="58">
        <v>2000139900000</v>
      </c>
      <c r="B302" s="26" t="str">
        <v>MINI CROISANT / MINI CROISANT</v>
      </c>
      <c r="C302" s="36">
        <v>0</v>
      </c>
      <c r="D302" s="36" t="str">
        <v>STK/PCS</v>
      </c>
      <c r="E302" s="170">
        <v>3146172</v>
      </c>
    </row>
    <row r="303" spans="1:5" x14ac:dyDescent="0.25">
      <c r="A303" s="58">
        <v>2000139900000</v>
      </c>
      <c r="B303" s="26" t="str">
        <v>MINI WIENER MIX / MIXED WINER MINI</v>
      </c>
      <c r="C303" s="36">
        <v>0</v>
      </c>
      <c r="D303" s="36" t="str">
        <v>STK/PCS</v>
      </c>
      <c r="E303" s="170">
        <v>0</v>
      </c>
    </row>
    <row r="304" spans="1:5" x14ac:dyDescent="0.25">
      <c r="A304" s="58">
        <v>5701014070649</v>
      </c>
      <c r="B304" s="26" t="str">
        <v>HATTING FINE RUNDSTYKKER 480G / ROLLS WHITE 480G</v>
      </c>
      <c r="C304" s="36">
        <v>0</v>
      </c>
      <c r="D304" s="36" t="str">
        <v>STK/PCS</v>
      </c>
      <c r="E304" s="170">
        <v>0</v>
      </c>
    </row>
    <row r="305" spans="1:5" x14ac:dyDescent="0.25">
      <c r="A305" s="58">
        <v>7340191130098</v>
      </c>
      <c r="B305" s="26" t="str">
        <v>BRIOCHE HAMBURGERBRØD 4STK / BRIOCHE HAMBURGER BUNS 4PCS</v>
      </c>
      <c r="C305" s="36">
        <v>0</v>
      </c>
      <c r="D305" s="36" t="str">
        <v>STK/PCS</v>
      </c>
      <c r="E305" s="170">
        <v>0</v>
      </c>
    </row>
    <row r="306" spans="1:5" x14ac:dyDescent="0.25">
      <c r="A306" s="58">
        <v>7071848022540</v>
      </c>
      <c r="B306" s="26" t="str">
        <v>BRIOCHEBRØD 500G / BRIOCHE BREAD 500G</v>
      </c>
      <c r="C306" s="36">
        <v>0</v>
      </c>
      <c r="D306" s="36" t="str">
        <v>STK/PCS</v>
      </c>
      <c r="E306" s="170">
        <v>4957148</v>
      </c>
    </row>
    <row r="307" spans="1:5" x14ac:dyDescent="0.25">
      <c r="A307" s="58">
        <v>7025165010827</v>
      </c>
      <c r="B307" s="26" t="str">
        <v>TOAST LOFF 750G / TOAST WHITE 750G</v>
      </c>
      <c r="C307" s="36">
        <v>0</v>
      </c>
      <c r="D307" s="36" t="str">
        <v>STK/PCS</v>
      </c>
      <c r="E307" s="170">
        <v>0</v>
      </c>
    </row>
    <row r="308" spans="1:5" x14ac:dyDescent="0.25">
      <c r="A308" s="58">
        <v>7025165010834</v>
      </c>
      <c r="B308" s="26" t="str">
        <v>TOAST BRØD 750G / TOAST BROWN 750G</v>
      </c>
      <c r="C308" s="36">
        <v>0</v>
      </c>
      <c r="D308" s="36" t="str">
        <v>STK/PCS</v>
      </c>
      <c r="E308" s="170">
        <v>0</v>
      </c>
    </row>
    <row r="309" spans="1:5" x14ac:dyDescent="0.25">
      <c r="A309" s="58">
        <v>0</v>
      </c>
      <c r="B309" s="26" t="str">
        <v>LEDIG</v>
      </c>
      <c r="C309" s="36">
        <v>0</v>
      </c>
      <c r="D309" s="36">
        <v>0</v>
      </c>
      <c r="E309" s="170">
        <v>0</v>
      </c>
    </row>
    <row r="310" spans="1:5" x14ac:dyDescent="0.25">
      <c r="A310" s="58">
        <v>0</v>
      </c>
      <c r="B310" s="26" t="str">
        <v>LEDIG</v>
      </c>
      <c r="C310" s="36">
        <v>0</v>
      </c>
      <c r="D310" s="36">
        <v>0</v>
      </c>
      <c r="E310" s="170">
        <v>0</v>
      </c>
    </row>
    <row r="311" spans="1:5" x14ac:dyDescent="0.25">
      <c r="A311" s="58">
        <v>0</v>
      </c>
      <c r="B311" s="26" t="str">
        <v>LEDIG</v>
      </c>
      <c r="C311" s="36">
        <v>0</v>
      </c>
      <c r="D311" s="36">
        <v>0</v>
      </c>
      <c r="E311" s="170">
        <v>0</v>
      </c>
    </row>
    <row r="312" spans="1:5" x14ac:dyDescent="0.25">
      <c r="A312" s="58">
        <v>0</v>
      </c>
      <c r="B312" s="26" t="str">
        <v>LEDIG</v>
      </c>
      <c r="C312" s="36">
        <v>0</v>
      </c>
      <c r="D312" s="36">
        <v>0</v>
      </c>
      <c r="E312" s="170">
        <v>0</v>
      </c>
    </row>
    <row r="313" spans="1:5" x14ac:dyDescent="0.25">
      <c r="A313" s="58">
        <v>0</v>
      </c>
      <c r="B313" s="26" t="str">
        <v>LEDIG</v>
      </c>
      <c r="C313" s="36">
        <v>0</v>
      </c>
      <c r="D313" s="36">
        <v>0</v>
      </c>
      <c r="E313" s="170">
        <v>0</v>
      </c>
    </row>
    <row r="314" spans="1:5" x14ac:dyDescent="0.25">
      <c r="A314" s="59" cm="1">
        <f t="array" ref="A314:D378">Tabell6[[EAN]:[STK/PCS/KG]]</f>
        <v>7044410110310</v>
      </c>
      <c r="B314" s="27" t="str">
        <v>HVETEMEL 2KG / WHEATFLOUR 2KG</v>
      </c>
      <c r="C314" s="37">
        <v>0</v>
      </c>
      <c r="D314" s="37" t="str">
        <v>STK/PCS</v>
      </c>
      <c r="E314" s="170" cm="1">
        <f t="array" ref="E314:E378">Tabell6[V.NR KRAEMER]</f>
        <v>544346</v>
      </c>
    </row>
    <row r="315" spans="1:5" x14ac:dyDescent="0.25">
      <c r="A315" s="59">
        <v>7020655001255</v>
      </c>
      <c r="B315" s="27" t="str">
        <v>HVETEMEL 25KG / WHEAT FLOUR 25KG</v>
      </c>
      <c r="C315" s="37">
        <v>0</v>
      </c>
      <c r="D315" s="37" t="str">
        <v>STK/PCS</v>
      </c>
      <c r="E315" s="170">
        <v>2812105</v>
      </c>
    </row>
    <row r="316" spans="1:5" x14ac:dyDescent="0.25">
      <c r="A316" s="59">
        <v>6420002061016</v>
      </c>
      <c r="B316" s="27" t="str">
        <v>MAIZENA 2,5KG / MAIZENA STARCH 2,5KG</v>
      </c>
      <c r="C316" s="37">
        <v>0</v>
      </c>
      <c r="D316" s="37" t="str">
        <v>STK/PCS</v>
      </c>
      <c r="E316" s="170">
        <v>488171</v>
      </c>
    </row>
    <row r="317" spans="1:5" x14ac:dyDescent="0.25">
      <c r="A317" s="59">
        <v>25701259103304</v>
      </c>
      <c r="B317" s="27" t="str">
        <v>SUKKER 25KG / SUGAR 25KG</v>
      </c>
      <c r="C317" s="37">
        <v>0</v>
      </c>
      <c r="D317" s="37" t="str">
        <v>STK/PCS</v>
      </c>
      <c r="E317" s="170">
        <v>10903</v>
      </c>
    </row>
    <row r="318" spans="1:5" x14ac:dyDescent="0.25">
      <c r="A318" s="59">
        <v>6414000020021</v>
      </c>
      <c r="B318" s="27" t="str">
        <v>SUKKER 1KG / SUGAR 1KG</v>
      </c>
      <c r="C318" s="37">
        <v>0</v>
      </c>
      <c r="D318" s="37" t="str">
        <v>STK/PCS</v>
      </c>
      <c r="E318" s="170">
        <v>10227</v>
      </c>
    </row>
    <row r="319" spans="1:5" x14ac:dyDescent="0.25">
      <c r="A319" s="59">
        <v>400872655106</v>
      </c>
      <c r="B319" s="27" t="str">
        <v>GELATINPLATER 1KG / GELATIN 1KG</v>
      </c>
      <c r="C319" s="37">
        <v>0</v>
      </c>
      <c r="D319" s="37" t="str">
        <v>STK/PCS</v>
      </c>
      <c r="E319" s="170">
        <v>2250157</v>
      </c>
    </row>
    <row r="320" spans="1:5" x14ac:dyDescent="0.25">
      <c r="A320" s="59">
        <v>7622210115812</v>
      </c>
      <c r="B320" s="27" t="str">
        <v>BAKEPULVER 1KG / BAKING SODA 1KG</v>
      </c>
      <c r="C320" s="37">
        <v>0</v>
      </c>
      <c r="D320" s="37" t="str">
        <v>STK/PCS</v>
      </c>
      <c r="E320" s="170">
        <v>2774024</v>
      </c>
    </row>
    <row r="321" spans="1:5" x14ac:dyDescent="0.25">
      <c r="A321" s="59">
        <v>7340011350811</v>
      </c>
      <c r="B321" s="27" t="str">
        <v>RAPSOLJE 1L / RAPS OIL 1L</v>
      </c>
      <c r="C321" s="37">
        <v>0</v>
      </c>
      <c r="D321" s="37" t="str">
        <v>STK/PCS</v>
      </c>
      <c r="E321" s="170">
        <v>2636926</v>
      </c>
    </row>
    <row r="322" spans="1:5" x14ac:dyDescent="0.25">
      <c r="A322" s="59">
        <v>7340011342618</v>
      </c>
      <c r="B322" s="27" t="str">
        <v>OLIVENOLJE 1L / OLIVE OIL 1L</v>
      </c>
      <c r="C322" s="37">
        <v>0</v>
      </c>
      <c r="D322" s="37" t="str">
        <v>STK/PCS</v>
      </c>
      <c r="E322" s="170">
        <v>371922</v>
      </c>
    </row>
    <row r="323" spans="1:5" x14ac:dyDescent="0.25">
      <c r="A323" s="59">
        <v>7036110100159</v>
      </c>
      <c r="B323" s="27" t="str">
        <v>SOYAOLJE 10L / SOY OIL 10L</v>
      </c>
      <c r="C323" s="37">
        <v>0</v>
      </c>
      <c r="D323" s="37" t="str">
        <v>STK/PCS</v>
      </c>
      <c r="E323" s="170">
        <v>681528</v>
      </c>
    </row>
    <row r="324" spans="1:5" x14ac:dyDescent="0.25">
      <c r="A324" s="59">
        <v>8710605021257</v>
      </c>
      <c r="B324" s="27" t="str">
        <v>OYSTER SAUCE 1L / OYSTER SAUCE 1L</v>
      </c>
      <c r="C324" s="37">
        <v>0</v>
      </c>
      <c r="D324" s="37" t="str">
        <v>STK/PCS</v>
      </c>
      <c r="E324" s="170">
        <v>2652857</v>
      </c>
    </row>
    <row r="325" spans="1:5" x14ac:dyDescent="0.25">
      <c r="A325" s="59">
        <v>7311312006448</v>
      </c>
      <c r="B325" s="27" t="str">
        <v>BBQ SAUCE BOURBON OG WHISKEY 1125ML / BBQ SAUCE BOURBON 1125ML</v>
      </c>
      <c r="C325" s="37">
        <v>0</v>
      </c>
      <c r="D325" s="37" t="str">
        <v>STK/PCS</v>
      </c>
      <c r="E325" s="170">
        <v>5443957</v>
      </c>
    </row>
    <row r="326" spans="1:5" x14ac:dyDescent="0.25">
      <c r="A326" s="59">
        <v>7340191124004</v>
      </c>
      <c r="B326" s="27" t="str">
        <v xml:space="preserve">GROVHAKKEDE TOMATER 390G / CRUSHED TOMATO </v>
      </c>
      <c r="C326" s="37">
        <v>0</v>
      </c>
      <c r="D326" s="37" t="str">
        <v>STK/PCS</v>
      </c>
      <c r="E326" s="170">
        <v>3052438</v>
      </c>
    </row>
    <row r="327" spans="1:5" x14ac:dyDescent="0.25">
      <c r="A327" s="59">
        <v>480031</v>
      </c>
      <c r="B327" s="27" t="str">
        <v>HAKKEDE TOMATER STRIANESE 2,5KG / CRUSHED TOMATO 2,5KG</v>
      </c>
      <c r="C327" s="37">
        <v>0</v>
      </c>
      <c r="D327" s="37" t="str">
        <v>STK/PCS</v>
      </c>
      <c r="E327" s="170">
        <v>547851</v>
      </c>
    </row>
    <row r="328" spans="1:5" x14ac:dyDescent="0.25">
      <c r="A328" s="59">
        <v>7035620040740</v>
      </c>
      <c r="B328" s="27" t="str">
        <v>TOMATPURE 850ML / TOMATO PUREE 850ML</v>
      </c>
      <c r="C328" s="37">
        <v>0</v>
      </c>
      <c r="D328" s="37" t="str">
        <v>STK/PCS</v>
      </c>
      <c r="E328" s="170">
        <v>4070140</v>
      </c>
    </row>
    <row r="329" spans="1:5" x14ac:dyDescent="0.25">
      <c r="A329" s="59">
        <v>6942853221253</v>
      </c>
      <c r="B329" s="27" t="str">
        <v>MAISKORN 2,125KG / MAIS CORN 2,125KG</v>
      </c>
      <c r="C329" s="37">
        <v>0</v>
      </c>
      <c r="D329" s="37" t="str">
        <v>STK/PCS</v>
      </c>
      <c r="E329" s="170">
        <v>3220019</v>
      </c>
    </row>
    <row r="330" spans="1:5" x14ac:dyDescent="0.25">
      <c r="A330" s="59">
        <v>7035620004568</v>
      </c>
      <c r="B330" s="27" t="str">
        <v>KIKERTER 2,6KG / CHICKPEAS 2,6KG</v>
      </c>
      <c r="C330" s="37">
        <v>0</v>
      </c>
      <c r="D330" s="37" t="str">
        <v>STK/PCS</v>
      </c>
      <c r="E330" s="170">
        <v>3082716</v>
      </c>
    </row>
    <row r="331" spans="1:5" x14ac:dyDescent="0.25">
      <c r="A331" s="59">
        <v>7340191108837</v>
      </c>
      <c r="B331" s="27" t="str">
        <v>KIDNEYBØNNER 380G / KIDNEYBEANS 380G</v>
      </c>
      <c r="C331" s="37">
        <v>0</v>
      </c>
      <c r="D331" s="37" t="str">
        <v>STK/PCS</v>
      </c>
      <c r="E331" s="170">
        <v>11074</v>
      </c>
    </row>
    <row r="332" spans="1:5" x14ac:dyDescent="0.25">
      <c r="A332" s="59">
        <v>6410708434740</v>
      </c>
      <c r="B332" s="27" t="str">
        <v>KIDNEYBØNNER 2,65KG / KIDNEY BEANS 2,65KG</v>
      </c>
      <c r="C332" s="37">
        <v>0</v>
      </c>
      <c r="D332" s="37" t="str">
        <v>STK/PCS</v>
      </c>
      <c r="E332" s="170">
        <v>12203963</v>
      </c>
    </row>
    <row r="333" spans="1:5" x14ac:dyDescent="0.25">
      <c r="A333" s="59">
        <v>7035620004681</v>
      </c>
      <c r="B333" s="27" t="str">
        <v>BØNNER HVITE 2,6KG / WHITE BEANS 2,6KG</v>
      </c>
      <c r="C333" s="37">
        <v>0</v>
      </c>
      <c r="D333" s="37" t="str">
        <v>STK/PCS</v>
      </c>
      <c r="E333" s="170">
        <v>3082542</v>
      </c>
    </row>
    <row r="334" spans="1:5" x14ac:dyDescent="0.25">
      <c r="A334" s="59">
        <v>11194392222</v>
      </c>
      <c r="B334" s="27" t="str">
        <v>GARBANZO BØNNER 3KG / GARBANZO BEANS 3KG</v>
      </c>
      <c r="C334" s="37">
        <v>0</v>
      </c>
      <c r="D334" s="37" t="str">
        <v>STK/PCS</v>
      </c>
      <c r="E334" s="170">
        <v>710160</v>
      </c>
    </row>
    <row r="335" spans="1:5" x14ac:dyDescent="0.25">
      <c r="A335" s="59">
        <v>7036340058169</v>
      </c>
      <c r="B335" s="27" t="str">
        <v>SORTE BØNNER 2KG / BLACK BEANS 2KG</v>
      </c>
      <c r="C335" s="37">
        <v>0</v>
      </c>
      <c r="D335" s="37" t="str">
        <v>STK/PCS</v>
      </c>
      <c r="E335" s="170">
        <v>5971809</v>
      </c>
    </row>
    <row r="336" spans="1:5" x14ac:dyDescent="0.25">
      <c r="A336" s="59">
        <v>8024046004510</v>
      </c>
      <c r="B336" s="27" t="str">
        <v>CANNELINI BØNNER 2,65KG / CANNELINI BEANS 2,6KG</v>
      </c>
      <c r="C336" s="37">
        <v>0</v>
      </c>
      <c r="D336" s="37" t="str">
        <v>STK/PCS</v>
      </c>
      <c r="E336" s="170">
        <v>1901651</v>
      </c>
    </row>
    <row r="337" spans="1:5" x14ac:dyDescent="0.25">
      <c r="A337" s="59">
        <v>7035620043819</v>
      </c>
      <c r="B337" s="27" t="str">
        <v>TUNFISK I VANN 3KG POSE / TUNA IN WATER 3KG</v>
      </c>
      <c r="C337" s="37">
        <v>0</v>
      </c>
      <c r="D337" s="37" t="str">
        <v>STK/PCS</v>
      </c>
      <c r="E337" s="170">
        <v>3179066</v>
      </c>
    </row>
    <row r="338" spans="1:5" x14ac:dyDescent="0.25">
      <c r="A338" s="59">
        <v>7035620042843</v>
      </c>
      <c r="B338" s="27" t="str">
        <v>TUNFISK I OLJE 3KG POSE / TUNA IN OIL 3KG</v>
      </c>
      <c r="C338" s="37">
        <v>0</v>
      </c>
      <c r="D338" s="37" t="str">
        <v>STK/PCS</v>
      </c>
      <c r="E338" s="170">
        <v>3178860</v>
      </c>
    </row>
    <row r="339" spans="1:5" x14ac:dyDescent="0.25">
      <c r="A339" s="59">
        <v>8410159044107</v>
      </c>
      <c r="B339" s="27" t="str">
        <v>SORTE OLIVEN 900G / BLACK OLIVES 900G</v>
      </c>
      <c r="C339" s="37">
        <v>0</v>
      </c>
      <c r="D339" s="37" t="str">
        <v>STK/PCS</v>
      </c>
      <c r="E339" s="170">
        <v>712232</v>
      </c>
    </row>
    <row r="340" spans="1:5" x14ac:dyDescent="0.25">
      <c r="A340" s="59">
        <v>4002442803948</v>
      </c>
      <c r="B340" s="27" t="str">
        <v>GRØNNE OLIVEN 900G / GREEN OLIVES 900G</v>
      </c>
      <c r="C340" s="37">
        <v>0</v>
      </c>
      <c r="D340" s="37" t="str">
        <v>STK/PCS</v>
      </c>
      <c r="E340" s="170">
        <v>4769139</v>
      </c>
    </row>
    <row r="341" spans="1:5" x14ac:dyDescent="0.25">
      <c r="A341" s="59">
        <v>7311040072005</v>
      </c>
      <c r="B341" s="27" t="str">
        <v>MANDARINER 850G / MANDARINS 850G</v>
      </c>
      <c r="C341" s="37">
        <v>0</v>
      </c>
      <c r="D341" s="37" t="str">
        <v>STK/PCS</v>
      </c>
      <c r="E341" s="170">
        <v>529651</v>
      </c>
    </row>
    <row r="342" spans="1:5" x14ac:dyDescent="0.25">
      <c r="A342" s="59">
        <v>7025110061577</v>
      </c>
      <c r="B342" s="27" t="str">
        <v>JASMIN RIS 2KG / JASMINE RICE 2KG</v>
      </c>
      <c r="C342" s="37">
        <v>0</v>
      </c>
      <c r="D342" s="37" t="str">
        <v>STK/PCS</v>
      </c>
      <c r="E342" s="170">
        <v>714188</v>
      </c>
    </row>
    <row r="343" spans="1:5" x14ac:dyDescent="0.25">
      <c r="A343" s="59">
        <v>7340011341444</v>
      </c>
      <c r="B343" s="27" t="str">
        <v>JAMSIN RIS 5 KG / JASMINE RICE 5KG</v>
      </c>
      <c r="C343" s="37">
        <v>0</v>
      </c>
      <c r="D343" s="37" t="str">
        <v>STK/PCS</v>
      </c>
      <c r="E343" s="170">
        <v>575662</v>
      </c>
    </row>
    <row r="344" spans="1:5" x14ac:dyDescent="0.25">
      <c r="A344" s="59">
        <v>7340011437192</v>
      </c>
      <c r="B344" s="27" t="str">
        <v>BASMATI RIS 2KG / BASMATI RICE 2 KG</v>
      </c>
      <c r="C344" s="37">
        <v>0</v>
      </c>
      <c r="D344" s="37" t="str">
        <v>STK/PCS</v>
      </c>
      <c r="E344" s="170">
        <v>308266</v>
      </c>
    </row>
    <row r="345" spans="1:5" x14ac:dyDescent="0.25">
      <c r="A345" s="59">
        <v>8001420001327</v>
      </c>
      <c r="B345" s="27" t="str">
        <v>RISOTTORIS 500G / RISOTTO RICE 500G</v>
      </c>
      <c r="C345" s="37">
        <v>0</v>
      </c>
      <c r="D345" s="37" t="str">
        <v>STK/PCS</v>
      </c>
      <c r="E345" s="170">
        <v>5802301</v>
      </c>
    </row>
    <row r="346" spans="1:5" x14ac:dyDescent="0.25">
      <c r="A346" s="59">
        <v>7035620019395</v>
      </c>
      <c r="B346" s="27" t="str">
        <v>PENNE TRICOLORE 5KG / PENNE TRICOLORE 5KG</v>
      </c>
      <c r="C346" s="37">
        <v>0</v>
      </c>
      <c r="D346" s="37" t="str">
        <v>STK/PCS</v>
      </c>
      <c r="E346" s="170">
        <v>3097847</v>
      </c>
    </row>
    <row r="347" spans="1:5" x14ac:dyDescent="0.25">
      <c r="A347" s="59">
        <v>7037619171497</v>
      </c>
      <c r="B347" s="27" t="str">
        <v>FARFALLE TRICOLORE 3KG / FARFALLE TRICOLORE 3KG</v>
      </c>
      <c r="C347" s="37">
        <v>0</v>
      </c>
      <c r="D347" s="37" t="str">
        <v>STK/PCS</v>
      </c>
      <c r="E347" s="170">
        <v>1959477</v>
      </c>
    </row>
    <row r="348" spans="1:5" x14ac:dyDescent="0.25">
      <c r="A348" s="59">
        <v>8076809001014</v>
      </c>
      <c r="B348" s="27" t="str">
        <v>TAGLIATELLE 6KG / TAGLIATELLE 6KG</v>
      </c>
      <c r="C348" s="37">
        <v>0</v>
      </c>
      <c r="D348" s="37" t="str">
        <v>STK/PCS</v>
      </c>
      <c r="E348" s="170">
        <v>474593</v>
      </c>
    </row>
    <row r="349" spans="1:5" x14ac:dyDescent="0.25">
      <c r="A349" s="59">
        <v>7025165017413</v>
      </c>
      <c r="B349" s="27" t="str">
        <v>HALVSTEKTE BRØD / HALF BAKED BROWN BREAD</v>
      </c>
      <c r="C349" s="37">
        <v>0</v>
      </c>
      <c r="D349" s="37" t="str">
        <v>STK/PCS</v>
      </c>
      <c r="E349" s="170">
        <v>3089133</v>
      </c>
    </row>
    <row r="350" spans="1:5" x14ac:dyDescent="0.25">
      <c r="A350" s="59">
        <v>7025165017437</v>
      </c>
      <c r="B350" s="27" t="str">
        <v>HALVSTEKT LOFF / HALV BAKED WHITE BREAD</v>
      </c>
      <c r="C350" s="37">
        <v>0</v>
      </c>
      <c r="D350" s="37" t="str">
        <v>STK/PCS</v>
      </c>
      <c r="E350" s="170">
        <v>0</v>
      </c>
    </row>
    <row r="351" spans="1:5" x14ac:dyDescent="0.25">
      <c r="A351" s="59">
        <v>7340011445203</v>
      </c>
      <c r="B351" s="27" t="str">
        <v>HALVSTEKTE RUNDSTYKKER MIX 8STK / MIXED ROLLS 8PC</v>
      </c>
      <c r="C351" s="37">
        <v>0</v>
      </c>
      <c r="D351" s="37" t="str">
        <v>STK/PCS</v>
      </c>
      <c r="E351" s="170">
        <v>486100</v>
      </c>
    </row>
    <row r="352" spans="1:5" x14ac:dyDescent="0.25">
      <c r="A352" s="59">
        <v>7340011488651</v>
      </c>
      <c r="B352" s="27" t="str">
        <v>HALVSTEKTE RUNDSTYKKER FINE 16STK / ROLLS WHITE 16PCS</v>
      </c>
      <c r="C352" s="37">
        <v>0</v>
      </c>
      <c r="D352" s="37" t="str">
        <v>STK/PCS</v>
      </c>
      <c r="E352" s="170">
        <v>112425</v>
      </c>
    </row>
    <row r="353" spans="1:5" x14ac:dyDescent="0.25">
      <c r="A353" s="59">
        <v>7039317005449</v>
      </c>
      <c r="B353" s="27" t="str">
        <v>SAFARI KJEKS / CHOCOLATE CHIP COOKIE</v>
      </c>
      <c r="C353" s="37">
        <v>0</v>
      </c>
      <c r="D353" s="37" t="str">
        <v>STK/PCS</v>
      </c>
      <c r="E353" s="170">
        <v>2836104</v>
      </c>
    </row>
    <row r="354" spans="1:5" x14ac:dyDescent="0.25">
      <c r="A354" s="59">
        <v>5000396021202</v>
      </c>
      <c r="B354" s="27" t="str">
        <v>RITZKJEKS / SALT BISQUIT</v>
      </c>
      <c r="C354" s="37">
        <v>0</v>
      </c>
      <c r="D354" s="37" t="str">
        <v>STK/PCS</v>
      </c>
      <c r="E354" s="170">
        <v>2008225</v>
      </c>
    </row>
    <row r="355" spans="1:5" x14ac:dyDescent="0.25">
      <c r="A355" s="59">
        <v>4001518722930</v>
      </c>
      <c r="B355" s="27" t="str">
        <v>JAFFA CAKES / ORANGE COOKIE</v>
      </c>
      <c r="C355" s="37">
        <v>0</v>
      </c>
      <c r="D355" s="37" t="str">
        <v>STK/PCS</v>
      </c>
      <c r="E355" s="170">
        <v>0</v>
      </c>
    </row>
    <row r="356" spans="1:5" x14ac:dyDescent="0.25">
      <c r="A356" s="59">
        <v>7340011336808</v>
      </c>
      <c r="B356" s="27" t="str">
        <v>PISTASJENØTTER 140G / PISTACHIO 140G</v>
      </c>
      <c r="C356" s="37">
        <v>0</v>
      </c>
      <c r="D356" s="37" t="str">
        <v>STK/PCS</v>
      </c>
      <c r="E356" s="170">
        <v>5700448</v>
      </c>
    </row>
    <row r="357" spans="1:5" x14ac:dyDescent="0.25">
      <c r="A357" s="59">
        <v>7340191126800</v>
      </c>
      <c r="B357" s="27" t="str">
        <v>VALNØTTER 200G / WALNUTS 200G</v>
      </c>
      <c r="C357" s="37">
        <v>0</v>
      </c>
      <c r="D357" s="37" t="str">
        <v>STK/PCS</v>
      </c>
      <c r="E357" s="170">
        <v>3230752</v>
      </c>
    </row>
    <row r="358" spans="1:5" x14ac:dyDescent="0.25">
      <c r="A358" s="59">
        <v>7340011492450</v>
      </c>
      <c r="B358" s="27" t="str">
        <v>CASHEWNØTTER NATUREL 150G / CASHEWNUTS NATURAL 150G</v>
      </c>
      <c r="C358" s="37">
        <v>0</v>
      </c>
      <c r="D358" s="37" t="str">
        <v>STK/PCS</v>
      </c>
      <c r="E358" s="170">
        <v>3226230</v>
      </c>
    </row>
    <row r="359" spans="1:5" x14ac:dyDescent="0.25">
      <c r="A359" s="59">
        <v>7039317007108</v>
      </c>
      <c r="B359" s="27" t="str">
        <v>PEANØTTER 360G / PEANUTS 360G</v>
      </c>
      <c r="C359" s="37">
        <v>0</v>
      </c>
      <c r="D359" s="37" t="str">
        <v>STK/PCS</v>
      </c>
      <c r="E359" s="170">
        <v>2934842</v>
      </c>
    </row>
    <row r="360" spans="1:5" x14ac:dyDescent="0.25">
      <c r="A360" s="59">
        <v>8722700210641</v>
      </c>
      <c r="B360" s="27" t="str">
        <v>GRØNN TE MINT 20POSER / GREEN TEA MINT 20BAGS</v>
      </c>
      <c r="C360" s="37">
        <v>0</v>
      </c>
      <c r="D360" s="37" t="str">
        <v>STK/PCS</v>
      </c>
      <c r="E360" s="170">
        <v>1760859</v>
      </c>
    </row>
    <row r="361" spans="1:5" x14ac:dyDescent="0.25">
      <c r="A361" s="59">
        <v>8722700055525</v>
      </c>
      <c r="B361" s="27" t="str">
        <v>GRØNN TE  20 POSER / GREEN TEA 20BAGS</v>
      </c>
      <c r="C361" s="37">
        <v>0</v>
      </c>
      <c r="D361" s="37" t="str">
        <v>STK/PCS</v>
      </c>
      <c r="E361" s="170">
        <v>1736297</v>
      </c>
    </row>
    <row r="362" spans="1:5" x14ac:dyDescent="0.25">
      <c r="A362" s="59">
        <v>70177173302</v>
      </c>
      <c r="B362" s="27" t="str">
        <v>GRØNN TE SITRON 25 POSER / GREEN TEA W. LEMON 25BAGS</v>
      </c>
      <c r="C362" s="37">
        <v>0</v>
      </c>
      <c r="D362" s="37" t="str">
        <v>STK/PCS</v>
      </c>
      <c r="E362" s="170">
        <v>4426862</v>
      </c>
    </row>
    <row r="363" spans="1:5" x14ac:dyDescent="0.25">
      <c r="A363" s="59">
        <v>70177077563</v>
      </c>
      <c r="B363" s="27" t="str">
        <v>EARL GREY 25 POSER / EARL GREY 25BAGS</v>
      </c>
      <c r="C363" s="37">
        <v>0</v>
      </c>
      <c r="D363" s="37" t="str">
        <v>STK/PCS</v>
      </c>
      <c r="E363" s="170">
        <v>4426979</v>
      </c>
    </row>
    <row r="364" spans="1:5" x14ac:dyDescent="0.25">
      <c r="A364" s="59">
        <v>8000070027442</v>
      </c>
      <c r="B364" s="27" t="str">
        <v>KAFFEBØNNER KOFFEINFRI LAVAZZA 500G / COFFEBEANS COFFEINFREE 500G</v>
      </c>
      <c r="C364" s="37">
        <v>0</v>
      </c>
      <c r="D364" s="37" t="str">
        <v>STK/PCS</v>
      </c>
      <c r="E364" s="170">
        <v>0</v>
      </c>
    </row>
    <row r="365" spans="1:5" x14ac:dyDescent="0.25">
      <c r="A365" s="59">
        <v>8000070035898</v>
      </c>
      <c r="B365" s="27" t="str">
        <v>HELE KAFFEBØNNER 1 KG / COFFEE BEANS 1KG LAVAZZA</v>
      </c>
      <c r="C365" s="37">
        <v>0</v>
      </c>
      <c r="D365" s="37" t="str">
        <v>STK/PCS</v>
      </c>
      <c r="E365" s="170">
        <v>2022770</v>
      </c>
    </row>
    <row r="366" spans="1:5" x14ac:dyDescent="0.25">
      <c r="A366" s="59">
        <v>8000070025400</v>
      </c>
      <c r="B366" s="27" t="str">
        <v>HELE KAFFEBØNNER CREMA 1KG / COFFEE BEANS CREME 1KG</v>
      </c>
      <c r="C366" s="37">
        <v>0</v>
      </c>
      <c r="D366" s="37" t="str">
        <v>STK/PCS</v>
      </c>
      <c r="E366" s="170">
        <v>0</v>
      </c>
    </row>
    <row r="367" spans="1:5" x14ac:dyDescent="0.25">
      <c r="A367" s="59">
        <v>7613036932172</v>
      </c>
      <c r="B367" s="27" t="str">
        <v>STARBUCK ESPRESSO HELE BØNNER 200G / SB ESPRESSO WHOLE BEANS</v>
      </c>
      <c r="C367" s="37">
        <v>0</v>
      </c>
      <c r="D367" s="37" t="str">
        <v>STK/PCS</v>
      </c>
      <c r="E367" s="170">
        <v>5679485</v>
      </c>
    </row>
    <row r="368" spans="1:5" x14ac:dyDescent="0.25">
      <c r="A368" s="59">
        <v>7613036932110</v>
      </c>
      <c r="B368" s="27" t="str">
        <v>STARBUCKS HOUSE BLEND HELE BØNNER 20G / SB HOUSE BLEND WHOLE</v>
      </c>
      <c r="C368" s="37">
        <v>0</v>
      </c>
      <c r="D368" s="37" t="str">
        <v>STK/PCS</v>
      </c>
      <c r="E368" s="170">
        <v>5416789</v>
      </c>
    </row>
    <row r="369" spans="1:5" x14ac:dyDescent="0.25">
      <c r="A369" s="59">
        <v>7322540934960</v>
      </c>
      <c r="B369" s="27" t="str">
        <v>TORK MULTIFOLD 21x180 / TORK MULTIFOLD 21CM</v>
      </c>
      <c r="C369" s="37">
        <v>0</v>
      </c>
      <c r="D369" s="37" t="str">
        <v>STK/PCS</v>
      </c>
      <c r="E369" s="170">
        <v>4334744</v>
      </c>
    </row>
    <row r="370" spans="1:5" x14ac:dyDescent="0.25">
      <c r="A370" s="59">
        <v>0</v>
      </c>
      <c r="B370" s="27" t="str">
        <v>ENGANGSHANSKER SMALL 100STK / DISPOSABLE GLOVE SMALL 100PCS</v>
      </c>
      <c r="C370" s="37">
        <v>0</v>
      </c>
      <c r="D370" s="37" t="str">
        <v>STK/PCS</v>
      </c>
      <c r="E370" s="170">
        <v>1104439</v>
      </c>
    </row>
    <row r="371" spans="1:5" x14ac:dyDescent="0.25">
      <c r="A371" s="59">
        <v>7052151922888</v>
      </c>
      <c r="B371" s="27" t="str">
        <v>ENGANGSHANSKER MEDIUM 100STK / DISPOSABLE GLOVE MEDIUM 100PCS</v>
      </c>
      <c r="C371" s="37">
        <v>0</v>
      </c>
      <c r="D371" s="37" t="str">
        <v>STK/PCS</v>
      </c>
      <c r="E371" s="170">
        <v>1104447</v>
      </c>
    </row>
    <row r="372" spans="1:5" x14ac:dyDescent="0.25">
      <c r="A372" s="59">
        <v>7052151922895</v>
      </c>
      <c r="B372" s="27" t="str">
        <v>ENGANSHANSKER LARGE 100STK / DISPOSABLE GLOVE LARGE 100PCS</v>
      </c>
      <c r="C372" s="37">
        <v>0</v>
      </c>
      <c r="D372" s="37" t="str">
        <v>STK/PCS</v>
      </c>
      <c r="E372" s="170">
        <v>11060661</v>
      </c>
    </row>
    <row r="373" spans="1:5" x14ac:dyDescent="0.25">
      <c r="A373" s="59">
        <v>0</v>
      </c>
      <c r="B373" s="27" t="str">
        <v>ENGANGSHANSKER X-LARGE 100STK / DISPOSABLE GLOVE X-LARGE 100PCS</v>
      </c>
      <c r="C373" s="37">
        <v>0</v>
      </c>
      <c r="D373" s="37" t="str">
        <v>STK/PCS</v>
      </c>
      <c r="E373" s="170">
        <v>2036945</v>
      </c>
    </row>
    <row r="374" spans="1:5" x14ac:dyDescent="0.25">
      <c r="A374" s="59">
        <v>0</v>
      </c>
      <c r="B374" s="27" t="str">
        <v>LEDIG</v>
      </c>
      <c r="C374" s="37">
        <v>0</v>
      </c>
      <c r="D374" s="37">
        <v>0</v>
      </c>
      <c r="E374" s="170">
        <v>0</v>
      </c>
    </row>
    <row r="375" spans="1:5" x14ac:dyDescent="0.25">
      <c r="A375" s="59">
        <v>0</v>
      </c>
      <c r="B375" s="27" t="str">
        <v>LEDIG</v>
      </c>
      <c r="C375" s="37">
        <v>0</v>
      </c>
      <c r="D375" s="37">
        <v>0</v>
      </c>
      <c r="E375" s="170">
        <v>0</v>
      </c>
    </row>
    <row r="376" spans="1:5" x14ac:dyDescent="0.25">
      <c r="A376" s="59">
        <v>0</v>
      </c>
      <c r="B376" s="27" t="str">
        <v>LEDIG</v>
      </c>
      <c r="C376" s="37">
        <v>0</v>
      </c>
      <c r="D376" s="37">
        <v>0</v>
      </c>
      <c r="E376" s="170">
        <v>0</v>
      </c>
    </row>
    <row r="377" spans="1:5" x14ac:dyDescent="0.25">
      <c r="A377" s="59">
        <v>0</v>
      </c>
      <c r="B377" s="27" t="str">
        <v>LEDIG</v>
      </c>
      <c r="C377" s="37">
        <v>0</v>
      </c>
      <c r="D377" s="37">
        <v>0</v>
      </c>
      <c r="E377" s="170">
        <v>0</v>
      </c>
    </row>
    <row r="378" spans="1:5" x14ac:dyDescent="0.25">
      <c r="A378" s="59">
        <v>0</v>
      </c>
      <c r="B378" s="27" t="str">
        <v>LEDIG</v>
      </c>
      <c r="C378" s="37">
        <v>0</v>
      </c>
      <c r="D378" s="37">
        <v>0</v>
      </c>
      <c r="E378" s="170">
        <v>0</v>
      </c>
    </row>
    <row r="379" spans="1:5" x14ac:dyDescent="0.25">
      <c r="A379" s="60" cm="1">
        <f t="array" ref="A379:D400">Tabell7[[EAN]:[STK/PCS/KG]]</f>
        <v>0</v>
      </c>
      <c r="B379" s="28" t="str">
        <v>SORT PEPPER GROVMALT 3KG / BLACK PEPPER CRUSHED 3KG</v>
      </c>
      <c r="C379" s="38">
        <v>0</v>
      </c>
      <c r="D379" s="38" t="str">
        <v>STK/PCS</v>
      </c>
      <c r="E379" s="170" cm="1">
        <f t="array" ref="E379:E400">Tabell7[V.NR SOLINA]</f>
        <v>91120401</v>
      </c>
    </row>
    <row r="380" spans="1:5" x14ac:dyDescent="0.25">
      <c r="A380" s="60">
        <v>0</v>
      </c>
      <c r="B380" s="28" t="str">
        <v>SORT PEPPER FINMALT 2KG / BLACK PEPPER POWDER 2KG</v>
      </c>
      <c r="C380" s="38">
        <v>0</v>
      </c>
      <c r="D380" s="38" t="str">
        <v>STK/PCS</v>
      </c>
      <c r="E380" s="170">
        <v>91111059</v>
      </c>
    </row>
    <row r="381" spans="1:5" x14ac:dyDescent="0.25">
      <c r="A381" s="60">
        <v>0</v>
      </c>
      <c r="B381" s="28" t="str">
        <v>HVIT PEPPER FINMALT 1KG / WHITE PEPPER POWDER 1KG</v>
      </c>
      <c r="C381" s="38">
        <v>0</v>
      </c>
      <c r="D381" s="38" t="str">
        <v>STK/PCS</v>
      </c>
      <c r="E381" s="170">
        <v>91124022</v>
      </c>
    </row>
    <row r="382" spans="1:5" x14ac:dyDescent="0.25">
      <c r="A382" s="60">
        <v>0</v>
      </c>
      <c r="B382" s="28" t="str">
        <v>PROVANCEKRYDDER 500G / HERB DE PROVENCE 500G</v>
      </c>
      <c r="C382" s="38">
        <v>0</v>
      </c>
      <c r="D382" s="38" t="str">
        <v>STK/PCS</v>
      </c>
      <c r="E382" s="170">
        <v>0</v>
      </c>
    </row>
    <row r="383" spans="1:5" x14ac:dyDescent="0.25">
      <c r="A383" s="60">
        <v>0</v>
      </c>
      <c r="B383" s="28" t="str">
        <v>KARRI 500G / CURRY 500G</v>
      </c>
      <c r="C383" s="38">
        <v>0</v>
      </c>
      <c r="D383" s="38" t="str">
        <v>STK/PCS</v>
      </c>
      <c r="E383" s="170">
        <v>91124052</v>
      </c>
    </row>
    <row r="384" spans="1:5" x14ac:dyDescent="0.25">
      <c r="A384" s="60">
        <v>0</v>
      </c>
      <c r="B384" s="28" t="str">
        <v>HVITLØKSPULVER 500G / GARLIC POWDER 500G</v>
      </c>
      <c r="C384" s="38">
        <v>0</v>
      </c>
      <c r="D384" s="38" t="str">
        <v>STK/PCS</v>
      </c>
      <c r="E384" s="170">
        <v>91124006</v>
      </c>
    </row>
    <row r="385" spans="1:5" x14ac:dyDescent="0.25">
      <c r="A385" s="60">
        <v>0</v>
      </c>
      <c r="B385" s="28" t="str">
        <v>HVITLØKSPEPPER 2,5KG / GARLICPEPPER 2,5KG</v>
      </c>
      <c r="C385" s="38">
        <v>0</v>
      </c>
      <c r="D385" s="38" t="str">
        <v>STK/PCS</v>
      </c>
      <c r="E385" s="170">
        <v>0</v>
      </c>
    </row>
    <row r="386" spans="1:5" x14ac:dyDescent="0.25">
      <c r="A386" s="60">
        <v>0</v>
      </c>
      <c r="B386" s="28" t="str">
        <v>ESTRAGON 500G / TARRAGON 500G</v>
      </c>
      <c r="C386" s="38">
        <v>0</v>
      </c>
      <c r="D386" s="38" t="str">
        <v>STK/PCS</v>
      </c>
      <c r="E386" s="170">
        <v>0</v>
      </c>
    </row>
    <row r="387" spans="1:5" x14ac:dyDescent="0.25">
      <c r="A387" s="60">
        <v>0</v>
      </c>
      <c r="B387" s="28" t="str">
        <v>RAMSLØK TØRKET 500G / RAMSON 500G</v>
      </c>
      <c r="C387" s="38">
        <v>0</v>
      </c>
      <c r="D387" s="38" t="str">
        <v>STK/PCS</v>
      </c>
      <c r="E387" s="170">
        <v>91124056</v>
      </c>
    </row>
    <row r="388" spans="1:5" x14ac:dyDescent="0.25">
      <c r="A388" s="60">
        <v>0</v>
      </c>
      <c r="B388" s="28" t="str">
        <v>SORT PEPPER HEL 1KG / BLACK PEPPER WHOLE 1KG</v>
      </c>
      <c r="C388" s="38">
        <v>0</v>
      </c>
      <c r="D388" s="38" t="str">
        <v>STK/PCS</v>
      </c>
      <c r="E388" s="170">
        <v>91124009</v>
      </c>
    </row>
    <row r="389" spans="1:5" x14ac:dyDescent="0.25">
      <c r="A389" s="60">
        <v>0</v>
      </c>
      <c r="B389" s="28" t="str">
        <v>BASILKUM 500G / BASIL 500G</v>
      </c>
      <c r="C389" s="38">
        <v>0</v>
      </c>
      <c r="D389" s="38" t="str">
        <v>STK/PCS</v>
      </c>
      <c r="E389" s="170">
        <v>91124008</v>
      </c>
    </row>
    <row r="390" spans="1:5" x14ac:dyDescent="0.25">
      <c r="A390" s="60">
        <v>0</v>
      </c>
      <c r="B390" s="28" t="str">
        <v>TØRKET LØK 1KG / DRIED ONION 1KG</v>
      </c>
      <c r="C390" s="38">
        <v>0</v>
      </c>
      <c r="D390" s="38" t="str">
        <v>STK/PCS</v>
      </c>
      <c r="E390" s="170">
        <v>91124011</v>
      </c>
    </row>
    <row r="391" spans="1:5" x14ac:dyDescent="0.25">
      <c r="A391" s="60">
        <v>0</v>
      </c>
      <c r="B391" s="28" t="str">
        <v>OREGANO 500G / OREGANO 500G</v>
      </c>
      <c r="C391" s="38">
        <v>0</v>
      </c>
      <c r="D391" s="38" t="str">
        <v>STK/PCS</v>
      </c>
      <c r="E391" s="170">
        <v>91124001</v>
      </c>
    </row>
    <row r="392" spans="1:5" x14ac:dyDescent="0.25">
      <c r="A392" s="60">
        <v>0</v>
      </c>
      <c r="B392" s="28" t="str">
        <v>PERSILLE 500G / PARSLEY 500G</v>
      </c>
      <c r="C392" s="38">
        <v>0</v>
      </c>
      <c r="D392" s="38" t="str">
        <v>STK/PCS</v>
      </c>
      <c r="E392" s="170">
        <v>91124021</v>
      </c>
    </row>
    <row r="393" spans="1:5" x14ac:dyDescent="0.25">
      <c r="A393" s="60">
        <v>0</v>
      </c>
      <c r="B393" s="28" t="str">
        <v>GRESSLØK 400G / CHIVES 400G</v>
      </c>
      <c r="C393" s="38">
        <v>0</v>
      </c>
      <c r="D393" s="38" t="str">
        <v>STK/PCS</v>
      </c>
      <c r="E393" s="170">
        <v>91124040</v>
      </c>
    </row>
    <row r="394" spans="1:5" x14ac:dyDescent="0.25">
      <c r="A394" s="60">
        <v>0</v>
      </c>
      <c r="B394" s="28" t="str">
        <v>MUSKATNØTT 1KG / NUTMEG 1KG</v>
      </c>
      <c r="C394" s="38">
        <v>0</v>
      </c>
      <c r="D394" s="38" t="str">
        <v>STK/PCS</v>
      </c>
      <c r="E394" s="170">
        <v>91124046</v>
      </c>
    </row>
    <row r="395" spans="1:5" x14ac:dyDescent="0.25">
      <c r="A395" s="60">
        <v>8711327456181</v>
      </c>
      <c r="B395" s="28" t="str">
        <v>AROMAT 1,2KG / AROMAT 1,2KG</v>
      </c>
      <c r="C395" s="38">
        <v>0</v>
      </c>
      <c r="D395" s="38" t="str">
        <v>STK/PCS</v>
      </c>
      <c r="E395" s="170">
        <v>5692983</v>
      </c>
    </row>
    <row r="396" spans="1:5" x14ac:dyDescent="0.25">
      <c r="A396" s="60">
        <v>0</v>
      </c>
      <c r="B396" s="28" t="str">
        <v>LEDIG</v>
      </c>
      <c r="C396" s="38">
        <v>0</v>
      </c>
      <c r="D396" s="38">
        <v>0</v>
      </c>
      <c r="E396" s="170">
        <v>0</v>
      </c>
    </row>
    <row r="397" spans="1:5" x14ac:dyDescent="0.25">
      <c r="A397" s="60">
        <v>0</v>
      </c>
      <c r="B397" s="28" t="str">
        <v>LEDIG</v>
      </c>
      <c r="C397" s="38">
        <v>0</v>
      </c>
      <c r="D397" s="38">
        <v>0</v>
      </c>
      <c r="E397" s="170">
        <v>0</v>
      </c>
    </row>
    <row r="398" spans="1:5" x14ac:dyDescent="0.25">
      <c r="A398" s="60">
        <v>0</v>
      </c>
      <c r="B398" s="28" t="str">
        <v>LEDIG</v>
      </c>
      <c r="C398" s="38">
        <v>0</v>
      </c>
      <c r="D398" s="38">
        <v>0</v>
      </c>
      <c r="E398" s="170">
        <v>0</v>
      </c>
    </row>
    <row r="399" spans="1:5" x14ac:dyDescent="0.25">
      <c r="A399" s="60">
        <v>0</v>
      </c>
      <c r="B399" s="28" t="str">
        <v>LEDIG</v>
      </c>
      <c r="C399" s="38">
        <v>0</v>
      </c>
      <c r="D399" s="38">
        <v>0</v>
      </c>
      <c r="E399" s="170">
        <v>0</v>
      </c>
    </row>
    <row r="400" spans="1:5" x14ac:dyDescent="0.25">
      <c r="A400" s="60">
        <v>0</v>
      </c>
      <c r="B400" s="28" t="str">
        <v>LEDIG</v>
      </c>
      <c r="C400" s="38">
        <v>0</v>
      </c>
      <c r="D400" s="38">
        <v>0</v>
      </c>
      <c r="E400" s="170">
        <v>0</v>
      </c>
    </row>
    <row r="401" spans="1:5" x14ac:dyDescent="0.25">
      <c r="A401" s="61" cm="1">
        <f t="array" ref="A401:D433">Tabell8[[EAN ]:[STK/PCS/KG]]</f>
        <v>7025150012102</v>
      </c>
      <c r="B401" s="29" t="str">
        <v>APPELSINJUICE 1,5L / ORANGE JUICE 1,5L</v>
      </c>
      <c r="C401" s="39">
        <v>0</v>
      </c>
      <c r="D401" s="39" t="str">
        <v>STK/PCS</v>
      </c>
      <c r="E401" s="170" cm="1">
        <f t="array" ref="E401:E433">Tabell8[V.NR KRAEMER]</f>
        <v>10057</v>
      </c>
    </row>
    <row r="402" spans="1:5" x14ac:dyDescent="0.25">
      <c r="A402" s="61">
        <v>7025150014106</v>
      </c>
      <c r="B402" s="29" t="str">
        <v>EPLEJUICE 1,5L / APPELJUICE 1,5L</v>
      </c>
      <c r="C402" s="39">
        <v>0</v>
      </c>
      <c r="D402" s="39" t="str">
        <v>STK/PCS</v>
      </c>
      <c r="E402" s="170">
        <v>10058</v>
      </c>
    </row>
    <row r="403" spans="1:5" x14ac:dyDescent="0.25">
      <c r="A403" s="61">
        <v>7025150014908</v>
      </c>
      <c r="B403" s="29" t="str">
        <v>FROKOSTJUICE 1,5l / MULTIJUICE 1,5L</v>
      </c>
      <c r="C403" s="39">
        <v>0</v>
      </c>
      <c r="D403" s="39" t="str">
        <v>STK/PCS</v>
      </c>
      <c r="E403" s="170">
        <v>3221975</v>
      </c>
    </row>
    <row r="404" spans="1:5" x14ac:dyDescent="0.25">
      <c r="A404" s="61">
        <v>5705001405612</v>
      </c>
      <c r="B404" s="29" t="str">
        <v>TRANEBÆRJUICE 1L / CRANBERRYJUICE 1L</v>
      </c>
      <c r="C404" s="39">
        <v>0</v>
      </c>
      <c r="D404" s="39" t="str">
        <v>STK/PCS</v>
      </c>
      <c r="E404" s="170">
        <v>5131701</v>
      </c>
    </row>
    <row r="405" spans="1:5" x14ac:dyDescent="0.25">
      <c r="A405" s="61">
        <v>5705001405100</v>
      </c>
      <c r="B405" s="29" t="str">
        <v>TOMATJUICE 1L / TOMATOJUICE 1L</v>
      </c>
      <c r="C405" s="39">
        <v>0</v>
      </c>
      <c r="D405" s="39" t="str">
        <v>STK/PCS</v>
      </c>
      <c r="E405" s="170">
        <v>1366160</v>
      </c>
    </row>
    <row r="406" spans="1:5" x14ac:dyDescent="0.25">
      <c r="A406" s="61">
        <v>7025110077691</v>
      </c>
      <c r="B406" s="29" t="str">
        <v>ANANASJUICE 1L / PINEAPPLE JUICE 1L</v>
      </c>
      <c r="C406" s="39">
        <v>0</v>
      </c>
      <c r="D406" s="39" t="str">
        <v>STK/PCS</v>
      </c>
      <c r="E406" s="170">
        <v>2211084</v>
      </c>
    </row>
    <row r="407" spans="1:5" x14ac:dyDescent="0.25">
      <c r="A407" s="61">
        <v>5410233763187</v>
      </c>
      <c r="B407" s="29" t="str">
        <v>SITRON JUICE REALLEMON / LEMON JUICE REALLEMON 10L</v>
      </c>
      <c r="C407" s="39">
        <v>0</v>
      </c>
      <c r="D407" s="39" t="str">
        <v>STK/PCS</v>
      </c>
      <c r="E407" s="170">
        <v>5685953</v>
      </c>
    </row>
    <row r="408" spans="1:5" x14ac:dyDescent="0.25">
      <c r="A408" s="61">
        <v>5410233712222</v>
      </c>
      <c r="B408" s="29" t="str">
        <v>SITRON JUICE REALLEMON / LEMON JUICE REALLEMON 1L</v>
      </c>
      <c r="C408" s="39">
        <v>0</v>
      </c>
      <c r="D408" s="39" t="str">
        <v>STK/PCS</v>
      </c>
      <c r="E408" s="170">
        <v>5764220</v>
      </c>
    </row>
    <row r="409" spans="1:5" x14ac:dyDescent="0.25">
      <c r="A409" s="61">
        <v>7394376619182</v>
      </c>
      <c r="B409" s="29" t="str">
        <v>OATLY HAVREMELK 1L / OATLY OATMILK 1L</v>
      </c>
      <c r="C409" s="39">
        <v>0</v>
      </c>
      <c r="D409" s="39" t="str">
        <v>STK/PCS</v>
      </c>
      <c r="E409" s="170">
        <v>5708250</v>
      </c>
    </row>
    <row r="410" spans="1:5" x14ac:dyDescent="0.25">
      <c r="A410" s="61">
        <v>5411188115496</v>
      </c>
      <c r="B410" s="29" t="str">
        <v>SOYAMELK USØTET 1L / ALPRO SOY MILK UNSWEETEND 1L</v>
      </c>
      <c r="C410" s="39">
        <v>0</v>
      </c>
      <c r="D410" s="39" t="str">
        <v>STK/PCS</v>
      </c>
      <c r="E410" s="170">
        <v>2935922</v>
      </c>
    </row>
    <row r="411" spans="1:5" x14ac:dyDescent="0.25">
      <c r="A411" s="61">
        <v>5411188110835</v>
      </c>
      <c r="B411" s="29" t="str">
        <v>ALPRO MANDELMELK 1L / ALPRO ALMOND MILK 1L</v>
      </c>
      <c r="C411" s="39">
        <v>0</v>
      </c>
      <c r="D411" s="39" t="str">
        <v>STK/PCS</v>
      </c>
      <c r="E411" s="170">
        <v>2753549</v>
      </c>
    </row>
    <row r="412" spans="1:5" x14ac:dyDescent="0.25">
      <c r="A412" s="61">
        <v>9117</v>
      </c>
      <c r="B412" s="29" t="str">
        <v>COCA COLA BX STK / COCA COLA BX PCS</v>
      </c>
      <c r="C412" s="39">
        <v>0</v>
      </c>
      <c r="D412" s="39" t="str">
        <v>STK/PCS</v>
      </c>
      <c r="E412" s="170">
        <v>12114</v>
      </c>
    </row>
    <row r="413" spans="1:5" x14ac:dyDescent="0.25">
      <c r="A413" s="61">
        <v>9130</v>
      </c>
      <c r="B413" s="29" t="str">
        <v>COCA COLA ZERO BX STK / COCA COLA ZERO BX PCS</v>
      </c>
      <c r="C413" s="39">
        <v>0</v>
      </c>
      <c r="D413" s="39" t="str">
        <v>STK/PCS</v>
      </c>
      <c r="E413" s="170">
        <v>15210</v>
      </c>
    </row>
    <row r="414" spans="1:5" x14ac:dyDescent="0.25">
      <c r="A414" s="61">
        <v>9127</v>
      </c>
      <c r="B414" s="29" t="str">
        <v>FANTA BX / FANTA ORANGE BX</v>
      </c>
      <c r="C414" s="39">
        <v>0</v>
      </c>
      <c r="D414" s="39" t="str">
        <v>STK/PCS</v>
      </c>
      <c r="E414" s="170">
        <v>12116</v>
      </c>
    </row>
    <row r="415" spans="1:5" x14ac:dyDescent="0.25">
      <c r="A415" s="61">
        <v>9112</v>
      </c>
      <c r="B415" s="29" t="str">
        <v>PEPSI MAX BX  / PEPSI MAX BX PCS</v>
      </c>
      <c r="C415" s="39">
        <v>0</v>
      </c>
      <c r="D415" s="39" t="str">
        <v>STK/PCS</v>
      </c>
      <c r="E415" s="170">
        <v>12110</v>
      </c>
    </row>
    <row r="416" spans="1:5" x14ac:dyDescent="0.25">
      <c r="A416" s="61">
        <v>9108</v>
      </c>
      <c r="B416" s="29" t="str">
        <v>SPRITE BX / SPRITE  BX</v>
      </c>
      <c r="C416" s="39">
        <v>0</v>
      </c>
      <c r="D416" s="39" t="str">
        <v>STK/PCS</v>
      </c>
      <c r="E416" s="170">
        <v>17845</v>
      </c>
    </row>
    <row r="417" spans="1:5" x14ac:dyDescent="0.25">
      <c r="A417" s="61">
        <v>9126</v>
      </c>
      <c r="B417" s="29" t="str">
        <v>COCA COLA LIGHT BX / DIET COKE BX</v>
      </c>
      <c r="C417" s="39">
        <v>0</v>
      </c>
      <c r="D417" s="39" t="str">
        <v>STK/PCS</v>
      </c>
      <c r="E417" s="170">
        <v>0</v>
      </c>
    </row>
    <row r="418" spans="1:5" x14ac:dyDescent="0.25">
      <c r="A418" s="61">
        <v>5740700985300</v>
      </c>
      <c r="B418" s="29" t="str">
        <v>FANTA SITRON BX / FANTA LEMON BX</v>
      </c>
      <c r="C418" s="39">
        <v>0</v>
      </c>
      <c r="D418" s="39" t="str">
        <v>STK/PCS</v>
      </c>
      <c r="E418" s="170">
        <v>0</v>
      </c>
    </row>
    <row r="419" spans="1:5" x14ac:dyDescent="0.25">
      <c r="A419" s="61">
        <v>5740700994654</v>
      </c>
      <c r="B419" s="29" t="str">
        <v>GINGER ALE BX / GINGER ALE BX</v>
      </c>
      <c r="C419" s="39">
        <v>0</v>
      </c>
      <c r="D419" s="39" t="str">
        <v>STK/PCS</v>
      </c>
      <c r="E419" s="170">
        <v>0</v>
      </c>
    </row>
    <row r="420" spans="1:5" x14ac:dyDescent="0.25">
      <c r="A420" s="61">
        <v>9101</v>
      </c>
      <c r="B420" s="29" t="str">
        <v>TONIC BX / TONIC WATER BX</v>
      </c>
      <c r="C420" s="39">
        <v>0</v>
      </c>
      <c r="D420" s="39" t="str">
        <v>STK/PCS</v>
      </c>
      <c r="E420" s="170">
        <v>17707</v>
      </c>
    </row>
    <row r="421" spans="1:5" x14ac:dyDescent="0.25">
      <c r="A421" s="61">
        <v>400210382020</v>
      </c>
      <c r="B421" s="29" t="str">
        <v>ERDINGER ALKOHOLFRI ØL 0,5L / ERDINGER ALCOHOLFREE BEER 0,5L</v>
      </c>
      <c r="C421" s="39">
        <v>0</v>
      </c>
      <c r="D421" s="39" t="str">
        <v>STK/PCS</v>
      </c>
      <c r="E421" s="170">
        <v>0</v>
      </c>
    </row>
    <row r="422" spans="1:5" x14ac:dyDescent="0.25">
      <c r="A422" s="61">
        <v>7037120026835</v>
      </c>
      <c r="B422" s="29" t="str">
        <v>MACK ISBJØRN ALKOHOLFRI 0,33L / MACK ISBJORN ALCOHOLFREE 0,33L</v>
      </c>
      <c r="C422" s="39">
        <v>0</v>
      </c>
      <c r="D422" s="39" t="str">
        <v>STK/PCS</v>
      </c>
      <c r="E422" s="170">
        <v>0</v>
      </c>
    </row>
    <row r="423" spans="1:5" x14ac:dyDescent="0.25">
      <c r="A423" s="61">
        <v>7023720012255</v>
      </c>
      <c r="B423" s="29" t="str">
        <v>VANN 1,5L / WATER 1,5L STILL</v>
      </c>
      <c r="C423" s="39">
        <v>0</v>
      </c>
      <c r="D423" s="39" t="str">
        <v>STK/PCS</v>
      </c>
      <c r="E423" s="170">
        <v>16595</v>
      </c>
    </row>
    <row r="424" spans="1:5" x14ac:dyDescent="0.25">
      <c r="A424" s="61">
        <v>7026890019406</v>
      </c>
      <c r="B424" s="29" t="str">
        <v>VANN ISBRE 0,33L  / STILL WATER 0,33L</v>
      </c>
      <c r="C424" s="39">
        <v>0</v>
      </c>
      <c r="D424" s="39" t="str">
        <v>STK/PCS</v>
      </c>
      <c r="E424" s="170">
        <v>18147</v>
      </c>
    </row>
    <row r="425" spans="1:5" x14ac:dyDescent="0.25">
      <c r="A425" s="61">
        <v>7090038270769</v>
      </c>
      <c r="B425" s="29" t="str">
        <v xml:space="preserve">VANN MED KULLSYRE  / WATER SPARKLING </v>
      </c>
      <c r="C425" s="39">
        <v>0</v>
      </c>
      <c r="D425" s="39" t="str">
        <v>STK/PCS</v>
      </c>
      <c r="E425" s="170">
        <v>0</v>
      </c>
    </row>
    <row r="426" spans="1:5" x14ac:dyDescent="0.25">
      <c r="A426" s="61">
        <v>7090038270738</v>
      </c>
      <c r="B426" s="29" t="str">
        <v xml:space="preserve">VANN MED KULLSYRE SITRON BX / WATER SPARLING LEMON </v>
      </c>
      <c r="C426" s="39">
        <v>0</v>
      </c>
      <c r="D426" s="39" t="str">
        <v>STK/PCS</v>
      </c>
      <c r="E426" s="170">
        <v>0</v>
      </c>
    </row>
    <row r="427" spans="1:5" x14ac:dyDescent="0.25">
      <c r="A427" s="61">
        <v>70118025</v>
      </c>
      <c r="B427" s="29" t="str">
        <v>VANN MED KULLSYRE ISKLAR 0,46L / WATER SPARKLING BTL 0,46L</v>
      </c>
      <c r="C427" s="39">
        <v>0</v>
      </c>
      <c r="D427" s="39" t="str">
        <v>STK/PCS</v>
      </c>
      <c r="E427" s="170">
        <v>0</v>
      </c>
    </row>
    <row r="428" spans="1:5" x14ac:dyDescent="0.25">
      <c r="A428" s="61">
        <v>7025110160652</v>
      </c>
      <c r="B428" s="29" t="str">
        <v>VANN 5L STILLE / WATER 5L STILL</v>
      </c>
      <c r="C428" s="39">
        <v>0</v>
      </c>
      <c r="D428" s="39" t="str">
        <v>STK/PCS</v>
      </c>
      <c r="E428" s="170">
        <v>0</v>
      </c>
    </row>
    <row r="429" spans="1:5" x14ac:dyDescent="0.25">
      <c r="A429" s="61">
        <v>0</v>
      </c>
      <c r="B429" s="29" t="str">
        <v>LEDIG</v>
      </c>
      <c r="C429" s="39">
        <v>0</v>
      </c>
      <c r="D429" s="39">
        <v>0</v>
      </c>
      <c r="E429" s="170">
        <v>0</v>
      </c>
    </row>
    <row r="430" spans="1:5" x14ac:dyDescent="0.25">
      <c r="A430" s="61">
        <v>0</v>
      </c>
      <c r="B430" s="29" t="str">
        <v>LEDIG</v>
      </c>
      <c r="C430" s="39">
        <v>0</v>
      </c>
      <c r="D430" s="39">
        <v>0</v>
      </c>
      <c r="E430" s="170">
        <v>0</v>
      </c>
    </row>
    <row r="431" spans="1:5" x14ac:dyDescent="0.25">
      <c r="A431" s="61">
        <v>0</v>
      </c>
      <c r="B431" s="29" t="str">
        <v>LEDIG</v>
      </c>
      <c r="C431" s="39">
        <v>0</v>
      </c>
      <c r="D431" s="39">
        <v>0</v>
      </c>
      <c r="E431" s="170">
        <v>0</v>
      </c>
    </row>
    <row r="432" spans="1:5" x14ac:dyDescent="0.25">
      <c r="A432" s="61">
        <v>0</v>
      </c>
      <c r="B432" s="29" t="str">
        <v>LEDIG</v>
      </c>
      <c r="C432" s="39">
        <v>0</v>
      </c>
      <c r="D432" s="39">
        <v>0</v>
      </c>
      <c r="E432" s="170">
        <v>0</v>
      </c>
    </row>
    <row r="433" spans="1:5" x14ac:dyDescent="0.25">
      <c r="A433" s="61">
        <v>0</v>
      </c>
      <c r="B433" s="29" t="str">
        <v>LEDIG</v>
      </c>
      <c r="C433" s="39">
        <v>0</v>
      </c>
      <c r="D433" s="39">
        <v>0</v>
      </c>
      <c r="E433" s="170">
        <v>0</v>
      </c>
    </row>
    <row r="434" spans="1:5" x14ac:dyDescent="0.25">
      <c r="A434" s="62" cm="1">
        <f t="array" ref="A434:D466">Tabell23[[EAN]:[STK/PCS/KG]]</f>
        <v>378801</v>
      </c>
      <c r="B434" s="30" t="str">
        <v>WHITE Les Champs d'Or Chardonnay</v>
      </c>
      <c r="C434" s="40">
        <v>0</v>
      </c>
      <c r="D434" s="40" t="str">
        <v>STK/PCS</v>
      </c>
      <c r="E434" s="170" cm="1">
        <f t="array" ref="E434:E466">Tabell23[V.NR KRAEMER]</f>
        <v>0</v>
      </c>
    </row>
    <row r="435" spans="1:5" x14ac:dyDescent="0.25">
      <c r="A435" s="62">
        <v>2001501</v>
      </c>
      <c r="B435" s="30" t="str">
        <v>WHITE Brocard Saint Bris</v>
      </c>
      <c r="C435" s="40">
        <v>0</v>
      </c>
      <c r="D435" s="40" t="str">
        <v>STK/PCS</v>
      </c>
      <c r="E435" s="170">
        <v>0</v>
      </c>
    </row>
    <row r="436" spans="1:5" x14ac:dyDescent="0.25">
      <c r="A436" s="62">
        <v>148361</v>
      </c>
      <c r="B436" s="30" t="str">
        <v>WHITE Mezzacorona Pinot Grigio</v>
      </c>
      <c r="C436" s="40">
        <v>0</v>
      </c>
      <c r="D436" s="40" t="str">
        <v>STK/PCS</v>
      </c>
      <c r="E436" s="170">
        <v>0</v>
      </c>
    </row>
    <row r="437" spans="1:5" x14ac:dyDescent="0.25">
      <c r="A437" s="62">
        <v>127975</v>
      </c>
      <c r="B437" s="30" t="str">
        <v>WHITE Winter Riesling Trocken</v>
      </c>
      <c r="C437" s="40">
        <v>0</v>
      </c>
      <c r="D437" s="40" t="str">
        <v>STK/PCS</v>
      </c>
      <c r="E437" s="170">
        <v>0</v>
      </c>
    </row>
    <row r="438" spans="1:5" x14ac:dyDescent="0.25">
      <c r="A438" s="62">
        <v>10130301</v>
      </c>
      <c r="B438" s="30" t="str">
        <v>ROSÈ Ultimate Provance Rose</v>
      </c>
      <c r="C438" s="40">
        <v>0</v>
      </c>
      <c r="D438" s="40" t="str">
        <v>STK/PCS</v>
      </c>
      <c r="E438" s="170">
        <v>0</v>
      </c>
    </row>
    <row r="439" spans="1:5" x14ac:dyDescent="0.25">
      <c r="A439" s="62">
        <v>5500801</v>
      </c>
      <c r="B439" s="30" t="str">
        <v>SPARKLING Gancia Prosecco</v>
      </c>
      <c r="C439" s="40">
        <v>0</v>
      </c>
      <c r="D439" s="40" t="str">
        <v>STK/PCS</v>
      </c>
      <c r="E439" s="170">
        <v>0</v>
      </c>
    </row>
    <row r="440" spans="1:5" x14ac:dyDescent="0.25">
      <c r="A440" s="62">
        <v>127256</v>
      </c>
      <c r="B440" s="30" t="str">
        <v>SPARKLING Delorme Cremant de Bourgogne</v>
      </c>
      <c r="C440" s="40">
        <v>0</v>
      </c>
      <c r="D440" s="40" t="str">
        <v>STK/PCS</v>
      </c>
      <c r="E440" s="170">
        <v>0</v>
      </c>
    </row>
    <row r="441" spans="1:5" x14ac:dyDescent="0.25">
      <c r="A441" s="62">
        <v>125301</v>
      </c>
      <c r="B441" s="30" t="str">
        <v>CHAMPAGNE Bonnet Grand Reserve</v>
      </c>
      <c r="C441" s="40">
        <v>0</v>
      </c>
      <c r="D441" s="40" t="str">
        <v>STK/PCS</v>
      </c>
      <c r="E441" s="170">
        <v>0</v>
      </c>
    </row>
    <row r="442" spans="1:5" x14ac:dyDescent="0.25">
      <c r="A442" s="62">
        <v>12590201</v>
      </c>
      <c r="B442" s="30" t="str">
        <v>RED El Esteco Malbec</v>
      </c>
      <c r="C442" s="40">
        <v>0</v>
      </c>
      <c r="D442" s="40" t="str">
        <v>STK/PCS</v>
      </c>
      <c r="E442" s="170">
        <v>0</v>
      </c>
    </row>
    <row r="443" spans="1:5" x14ac:dyDescent="0.25">
      <c r="A443" s="62">
        <v>621801</v>
      </c>
      <c r="B443" s="30" t="str">
        <v>RED Tommasi Rafael Valpolicella Classico</v>
      </c>
      <c r="C443" s="40">
        <v>0</v>
      </c>
      <c r="D443" s="40" t="str">
        <v>STK/PCS</v>
      </c>
      <c r="E443" s="170">
        <v>0</v>
      </c>
    </row>
    <row r="444" spans="1:5" x14ac:dyDescent="0.25">
      <c r="A444" s="62">
        <v>4176601</v>
      </c>
      <c r="B444" s="30" t="str">
        <v>RED Ch. Dudon 2016</v>
      </c>
      <c r="C444" s="40">
        <v>0</v>
      </c>
      <c r="D444" s="40" t="str">
        <v>STK/PCS</v>
      </c>
      <c r="E444" s="170">
        <v>0</v>
      </c>
    </row>
    <row r="445" spans="1:5" x14ac:dyDescent="0.25">
      <c r="A445" s="62">
        <v>101901</v>
      </c>
      <c r="B445" s="30" t="str">
        <v>RED Concha y Toro Cabernet Sauvignon</v>
      </c>
      <c r="C445" s="40">
        <v>0</v>
      </c>
      <c r="D445" s="40" t="str">
        <v>STK/PCS</v>
      </c>
      <c r="E445" s="170">
        <v>0</v>
      </c>
    </row>
    <row r="446" spans="1:5" x14ac:dyDescent="0.25">
      <c r="A446" s="62">
        <v>1954313</v>
      </c>
      <c r="B446" s="30" t="str">
        <v>LIQ Absolut Vodka 1 liter</v>
      </c>
      <c r="C446" s="40">
        <v>0</v>
      </c>
      <c r="D446" s="40" t="str">
        <v>STK/PCS</v>
      </c>
      <c r="E446" s="170">
        <v>0</v>
      </c>
    </row>
    <row r="447" spans="1:5" x14ac:dyDescent="0.25">
      <c r="A447" s="62">
        <v>4184001</v>
      </c>
      <c r="B447" s="30" t="str">
        <v>LIQ Beefeater Gin 1 liter</v>
      </c>
      <c r="C447" s="40">
        <v>0</v>
      </c>
      <c r="D447" s="40" t="str">
        <v>STK/PCS</v>
      </c>
      <c r="E447" s="170">
        <v>0</v>
      </c>
    </row>
    <row r="448" spans="1:5" x14ac:dyDescent="0.25">
      <c r="A448" s="62">
        <v>1940023</v>
      </c>
      <c r="B448" s="30" t="str">
        <v>LIQ Havana Club 3 años 1 liter</v>
      </c>
      <c r="C448" s="40">
        <v>0</v>
      </c>
      <c r="D448" s="40" t="str">
        <v>STK/PCS</v>
      </c>
      <c r="E448" s="170">
        <v>0</v>
      </c>
    </row>
    <row r="449" spans="1:5" x14ac:dyDescent="0.25">
      <c r="A449" s="62">
        <v>9034548</v>
      </c>
      <c r="B449" s="30" t="str">
        <v>LIQ Jameson 1 liter</v>
      </c>
      <c r="C449" s="40">
        <v>0</v>
      </c>
      <c r="D449" s="40" t="str">
        <v>STK/PCS</v>
      </c>
      <c r="E449" s="170">
        <v>0</v>
      </c>
    </row>
    <row r="450" spans="1:5" x14ac:dyDescent="0.25">
      <c r="A450" s="62">
        <v>1900131</v>
      </c>
      <c r="B450" s="30" t="str">
        <v>LIQ Jack Daniels 1 liter</v>
      </c>
      <c r="C450" s="40">
        <v>0</v>
      </c>
      <c r="D450" s="40" t="str">
        <v>STK/PCS</v>
      </c>
      <c r="E450" s="170">
        <v>0</v>
      </c>
    </row>
    <row r="451" spans="1:5" x14ac:dyDescent="0.25">
      <c r="A451" s="62">
        <v>8142501</v>
      </c>
      <c r="B451" s="30" t="str">
        <v>LIQ De Luze VSOP Special Tribute 1 liter</v>
      </c>
      <c r="C451" s="40">
        <v>0</v>
      </c>
      <c r="D451" s="40" t="str">
        <v>STK/PCS</v>
      </c>
      <c r="E451" s="170">
        <v>0</v>
      </c>
    </row>
    <row r="452" spans="1:5" x14ac:dyDescent="0.25">
      <c r="A452" s="62">
        <v>0</v>
      </c>
      <c r="B452" s="30" t="str">
        <v>LIQ SVALBARD XO 1L COGNAC</v>
      </c>
      <c r="C452" s="40">
        <v>0</v>
      </c>
      <c r="D452" s="40" t="str">
        <v>STK/PCS</v>
      </c>
      <c r="E452" s="170">
        <v>0</v>
      </c>
    </row>
    <row r="453" spans="1:5" x14ac:dyDescent="0.25">
      <c r="A453" s="62">
        <v>0</v>
      </c>
      <c r="B453" s="30" t="str">
        <v>LIQ SVALBARD VSOP 1L COGNAC</v>
      </c>
      <c r="C453" s="40">
        <v>0</v>
      </c>
      <c r="D453" s="40" t="str">
        <v>STK/PCS</v>
      </c>
      <c r="E453" s="170">
        <v>0</v>
      </c>
    </row>
    <row r="454" spans="1:5" x14ac:dyDescent="0.25">
      <c r="A454" s="62">
        <v>0</v>
      </c>
      <c r="B454" s="30" t="str">
        <v>LIQ SVALBARD AQUAVIT 1L</v>
      </c>
      <c r="C454" s="40">
        <v>0</v>
      </c>
      <c r="D454" s="40" t="str">
        <v>STK/PCS</v>
      </c>
      <c r="E454" s="170">
        <v>0</v>
      </c>
    </row>
    <row r="455" spans="1:5" x14ac:dyDescent="0.25">
      <c r="A455" s="62">
        <v>11102</v>
      </c>
      <c r="B455" s="30" t="str">
        <v>BEER SPITSBERGEN BLONDE 0,33BX</v>
      </c>
      <c r="C455" s="40">
        <v>0</v>
      </c>
      <c r="D455" s="40" t="str">
        <v>STK/PCS</v>
      </c>
      <c r="E455" s="170">
        <v>0</v>
      </c>
    </row>
    <row r="456" spans="1:5" x14ac:dyDescent="0.25">
      <c r="A456" s="62">
        <v>11062</v>
      </c>
      <c r="B456" s="30" t="str">
        <v>BEER SPITSBERGEN IPA 0,33BX</v>
      </c>
      <c r="C456" s="40">
        <v>0</v>
      </c>
      <c r="D456" s="40" t="str">
        <v>STK/PCS</v>
      </c>
      <c r="E456" s="170">
        <v>0</v>
      </c>
    </row>
    <row r="457" spans="1:5" x14ac:dyDescent="0.25">
      <c r="A457" s="62">
        <v>11032</v>
      </c>
      <c r="B457" s="30" t="str">
        <v>BEER SPITSBERGEN PALE ALE 0,33BX</v>
      </c>
      <c r="C457" s="40">
        <v>0</v>
      </c>
      <c r="D457" s="40" t="str">
        <v>STK/PCS</v>
      </c>
      <c r="E457" s="170">
        <v>0</v>
      </c>
    </row>
    <row r="458" spans="1:5" x14ac:dyDescent="0.25">
      <c r="A458" s="62">
        <v>11002</v>
      </c>
      <c r="B458" s="30" t="str">
        <v>BEER SPITSBERGEN PILSNER 0,33BX</v>
      </c>
      <c r="C458" s="40">
        <v>0</v>
      </c>
      <c r="D458" s="40" t="str">
        <v>STK/PCS</v>
      </c>
      <c r="E458" s="170">
        <v>0</v>
      </c>
    </row>
    <row r="459" spans="1:5" x14ac:dyDescent="0.25">
      <c r="A459" s="62">
        <v>11113</v>
      </c>
      <c r="B459" s="30" t="str">
        <v>BEER SPITSBERGEN WEISSBIER 0,33BX</v>
      </c>
      <c r="C459" s="40">
        <v>0</v>
      </c>
      <c r="D459" s="40" t="str">
        <v>STK/PCS</v>
      </c>
      <c r="E459" s="170">
        <v>0</v>
      </c>
    </row>
    <row r="460" spans="1:5" x14ac:dyDescent="0.25">
      <c r="A460" s="62">
        <v>23790</v>
      </c>
      <c r="B460" s="30" t="str">
        <v>BEER CARLSBERG 0,33L</v>
      </c>
      <c r="C460" s="40">
        <v>0</v>
      </c>
      <c r="D460" s="40" t="str">
        <v>STK/PCS</v>
      </c>
      <c r="E460" s="170">
        <v>0</v>
      </c>
    </row>
    <row r="461" spans="1:5" x14ac:dyDescent="0.25">
      <c r="A461" s="62">
        <v>11107</v>
      </c>
      <c r="B461" s="30" t="str">
        <v>BEER MACK ISBJØRN 0,33</v>
      </c>
      <c r="C461" s="40">
        <v>0</v>
      </c>
      <c r="D461" s="40" t="str">
        <v>STK/PCS</v>
      </c>
      <c r="E461" s="170">
        <v>0</v>
      </c>
    </row>
    <row r="462" spans="1:5" x14ac:dyDescent="0.25">
      <c r="A462" s="62">
        <v>0</v>
      </c>
      <c r="B462" s="30" t="str">
        <v>LEDIG</v>
      </c>
      <c r="C462" s="40">
        <v>0</v>
      </c>
      <c r="D462" s="40">
        <v>0</v>
      </c>
      <c r="E462" s="170">
        <v>0</v>
      </c>
    </row>
    <row r="463" spans="1:5" x14ac:dyDescent="0.25">
      <c r="A463" s="62">
        <v>0</v>
      </c>
      <c r="B463" s="30" t="str">
        <v>LEDIG</v>
      </c>
      <c r="C463" s="40">
        <v>0</v>
      </c>
      <c r="D463" s="40">
        <v>0</v>
      </c>
      <c r="E463" s="170">
        <v>0</v>
      </c>
    </row>
    <row r="464" spans="1:5" x14ac:dyDescent="0.25">
      <c r="A464" s="62">
        <v>0</v>
      </c>
      <c r="B464" s="30" t="str">
        <v>LEDIG</v>
      </c>
      <c r="C464" s="40">
        <v>0</v>
      </c>
      <c r="D464" s="40">
        <v>0</v>
      </c>
      <c r="E464" s="170">
        <v>0</v>
      </c>
    </row>
    <row r="465" spans="1:5" x14ac:dyDescent="0.25">
      <c r="A465" s="62">
        <v>0</v>
      </c>
      <c r="B465" s="30" t="str">
        <v>LEDIG</v>
      </c>
      <c r="C465" s="40">
        <v>0</v>
      </c>
      <c r="D465" s="40">
        <v>0</v>
      </c>
      <c r="E465" s="170">
        <v>0</v>
      </c>
    </row>
    <row r="466" spans="1:5" x14ac:dyDescent="0.25">
      <c r="A466" s="62">
        <v>0</v>
      </c>
      <c r="B466" s="30" t="str">
        <v>LEDIG</v>
      </c>
      <c r="C466" s="40">
        <v>0</v>
      </c>
      <c r="D466" s="40">
        <v>0</v>
      </c>
      <c r="E466" s="170">
        <v>0</v>
      </c>
    </row>
    <row r="467" spans="1:5" x14ac:dyDescent="0.25">
      <c r="A467" s="62"/>
      <c r="B467" s="30"/>
      <c r="C467" s="40"/>
      <c r="D467" s="40"/>
      <c r="E467" s="170"/>
    </row>
    <row r="468" spans="1:5" x14ac:dyDescent="0.25">
      <c r="A468" s="62"/>
      <c r="B468" s="30"/>
      <c r="C468" s="40"/>
      <c r="D468" s="40"/>
      <c r="E468" s="170"/>
    </row>
    <row r="469" spans="1:5" x14ac:dyDescent="0.25">
      <c r="A469" s="62"/>
      <c r="B469" s="30"/>
      <c r="C469" s="40"/>
      <c r="D469" s="40"/>
      <c r="E469" s="170"/>
    </row>
    <row r="470" spans="1:5" x14ac:dyDescent="0.25">
      <c r="A470" s="62"/>
      <c r="B470" s="30"/>
      <c r="C470" s="40"/>
      <c r="D470" s="40"/>
      <c r="E470" s="170"/>
    </row>
    <row r="471" spans="1:5" x14ac:dyDescent="0.25">
      <c r="A471" s="62"/>
      <c r="B471" s="30"/>
      <c r="C471" s="40"/>
      <c r="D471" s="40"/>
      <c r="E471" s="170"/>
    </row>
    <row r="472" spans="1:5" x14ac:dyDescent="0.25">
      <c r="A472" s="62"/>
      <c r="B472" s="30"/>
      <c r="C472" s="40"/>
      <c r="D472" s="40"/>
      <c r="E472" s="170"/>
    </row>
    <row r="473" spans="1:5" x14ac:dyDescent="0.25">
      <c r="A473" s="62"/>
      <c r="B473" s="30"/>
      <c r="C473" s="40"/>
      <c r="D473" s="40"/>
      <c r="E473" s="170"/>
    </row>
    <row r="474" spans="1:5" x14ac:dyDescent="0.25">
      <c r="A474" s="51" cm="1">
        <f t="array" ref="A474:D523">'TOTAL ORDER'!B497:E546</f>
        <v>0</v>
      </c>
      <c r="B474" s="51">
        <v>0</v>
      </c>
      <c r="C474" s="52">
        <v>0</v>
      </c>
      <c r="D474" s="150">
        <v>0</v>
      </c>
      <c r="E474" s="170" cm="1">
        <f t="array" ref="E474:E523">'TOTAL ORDER'!K497:K546</f>
        <v>0</v>
      </c>
    </row>
    <row r="475" spans="1:5" x14ac:dyDescent="0.25">
      <c r="A475" s="51">
        <v>0</v>
      </c>
      <c r="B475" s="51">
        <v>0</v>
      </c>
      <c r="C475" s="52">
        <v>0</v>
      </c>
      <c r="D475" s="150">
        <v>0</v>
      </c>
      <c r="E475" s="170">
        <v>0</v>
      </c>
    </row>
    <row r="476" spans="1:5" x14ac:dyDescent="0.25">
      <c r="A476" s="51">
        <v>0</v>
      </c>
      <c r="B476" s="51">
        <v>0</v>
      </c>
      <c r="C476" s="52">
        <v>0</v>
      </c>
      <c r="D476" s="150">
        <v>0</v>
      </c>
      <c r="E476" s="170">
        <v>0</v>
      </c>
    </row>
    <row r="477" spans="1:5" x14ac:dyDescent="0.25">
      <c r="A477" s="51">
        <v>0</v>
      </c>
      <c r="B477" s="51">
        <v>0</v>
      </c>
      <c r="C477" s="52">
        <v>0</v>
      </c>
      <c r="D477" s="150">
        <v>0</v>
      </c>
      <c r="E477" s="170">
        <v>0</v>
      </c>
    </row>
    <row r="478" spans="1:5" x14ac:dyDescent="0.25">
      <c r="A478" s="51">
        <v>0</v>
      </c>
      <c r="B478" s="51">
        <v>0</v>
      </c>
      <c r="C478" s="52">
        <v>0</v>
      </c>
      <c r="D478" s="150">
        <v>0</v>
      </c>
      <c r="E478" s="170">
        <v>0</v>
      </c>
    </row>
    <row r="479" spans="1:5" x14ac:dyDescent="0.25">
      <c r="A479" s="51">
        <v>0</v>
      </c>
      <c r="B479" s="51">
        <v>0</v>
      </c>
      <c r="C479" s="52">
        <v>0</v>
      </c>
      <c r="D479" s="150">
        <v>0</v>
      </c>
      <c r="E479" s="170">
        <v>0</v>
      </c>
    </row>
    <row r="480" spans="1:5" x14ac:dyDescent="0.25">
      <c r="A480" s="51">
        <v>0</v>
      </c>
      <c r="B480" s="51">
        <v>0</v>
      </c>
      <c r="C480" s="52">
        <v>0</v>
      </c>
      <c r="D480" s="150">
        <v>0</v>
      </c>
      <c r="E480" s="170">
        <v>0</v>
      </c>
    </row>
    <row r="481" spans="1:5" x14ac:dyDescent="0.25">
      <c r="A481" s="51">
        <v>0</v>
      </c>
      <c r="B481" s="51">
        <v>0</v>
      </c>
      <c r="C481" s="52">
        <v>0</v>
      </c>
      <c r="D481" s="150">
        <v>0</v>
      </c>
      <c r="E481" s="170">
        <v>0</v>
      </c>
    </row>
    <row r="482" spans="1:5" x14ac:dyDescent="0.25">
      <c r="A482" s="51">
        <v>0</v>
      </c>
      <c r="B482" s="51">
        <v>0</v>
      </c>
      <c r="C482" s="52">
        <v>0</v>
      </c>
      <c r="D482" s="150">
        <v>0</v>
      </c>
      <c r="E482" s="170">
        <v>0</v>
      </c>
    </row>
    <row r="483" spans="1:5" x14ac:dyDescent="0.25">
      <c r="A483" s="51">
        <v>0</v>
      </c>
      <c r="B483" s="51">
        <v>0</v>
      </c>
      <c r="C483" s="52">
        <v>0</v>
      </c>
      <c r="D483" s="150">
        <v>0</v>
      </c>
      <c r="E483" s="170">
        <v>0</v>
      </c>
    </row>
    <row r="484" spans="1:5" x14ac:dyDescent="0.25">
      <c r="A484" s="51">
        <v>0</v>
      </c>
      <c r="B484" s="51">
        <v>0</v>
      </c>
      <c r="C484" s="52">
        <v>0</v>
      </c>
      <c r="D484" s="150">
        <v>0</v>
      </c>
      <c r="E484" s="170">
        <v>0</v>
      </c>
    </row>
    <row r="485" spans="1:5" x14ac:dyDescent="0.25">
      <c r="A485" s="51">
        <v>0</v>
      </c>
      <c r="B485" s="51">
        <v>0</v>
      </c>
      <c r="C485" s="52">
        <v>0</v>
      </c>
      <c r="D485" s="150">
        <v>0</v>
      </c>
      <c r="E485" s="170">
        <v>0</v>
      </c>
    </row>
    <row r="486" spans="1:5" x14ac:dyDescent="0.25">
      <c r="A486" s="51">
        <v>0</v>
      </c>
      <c r="B486" s="51">
        <v>0</v>
      </c>
      <c r="C486" s="52">
        <v>0</v>
      </c>
      <c r="D486" s="150">
        <v>0</v>
      </c>
      <c r="E486" s="170">
        <v>0</v>
      </c>
    </row>
    <row r="487" spans="1:5" x14ac:dyDescent="0.25">
      <c r="A487" s="51">
        <v>0</v>
      </c>
      <c r="B487" s="51">
        <v>0</v>
      </c>
      <c r="C487" s="52">
        <v>0</v>
      </c>
      <c r="D487" s="150">
        <v>0</v>
      </c>
      <c r="E487" s="170">
        <v>0</v>
      </c>
    </row>
    <row r="488" spans="1:5" x14ac:dyDescent="0.25">
      <c r="A488" s="51">
        <v>0</v>
      </c>
      <c r="B488" s="51">
        <v>0</v>
      </c>
      <c r="C488" s="52">
        <v>0</v>
      </c>
      <c r="D488" s="150">
        <v>0</v>
      </c>
      <c r="E488" s="170">
        <v>0</v>
      </c>
    </row>
    <row r="489" spans="1:5" x14ac:dyDescent="0.25">
      <c r="A489" s="51">
        <v>0</v>
      </c>
      <c r="B489" s="51">
        <v>0</v>
      </c>
      <c r="C489" s="52">
        <v>0</v>
      </c>
      <c r="D489" s="150">
        <v>0</v>
      </c>
      <c r="E489" s="170">
        <v>0</v>
      </c>
    </row>
    <row r="490" spans="1:5" x14ac:dyDescent="0.25">
      <c r="A490" s="51">
        <v>0</v>
      </c>
      <c r="B490" s="51">
        <v>0</v>
      </c>
      <c r="C490" s="52">
        <v>0</v>
      </c>
      <c r="D490" s="150">
        <v>0</v>
      </c>
      <c r="E490" s="170">
        <v>0</v>
      </c>
    </row>
    <row r="491" spans="1:5" x14ac:dyDescent="0.25">
      <c r="A491" s="51">
        <v>0</v>
      </c>
      <c r="B491" s="51">
        <v>0</v>
      </c>
      <c r="C491" s="52">
        <v>0</v>
      </c>
      <c r="D491" s="150">
        <v>0</v>
      </c>
      <c r="E491" s="170">
        <v>0</v>
      </c>
    </row>
    <row r="492" spans="1:5" x14ac:dyDescent="0.25">
      <c r="A492" s="51">
        <v>0</v>
      </c>
      <c r="B492" s="51">
        <v>0</v>
      </c>
      <c r="C492" s="52">
        <v>0</v>
      </c>
      <c r="D492" s="150">
        <v>0</v>
      </c>
      <c r="E492" s="170">
        <v>0</v>
      </c>
    </row>
    <row r="493" spans="1:5" x14ac:dyDescent="0.25">
      <c r="A493" s="51">
        <v>0</v>
      </c>
      <c r="B493" s="51">
        <v>0</v>
      </c>
      <c r="C493" s="52">
        <v>0</v>
      </c>
      <c r="D493" s="150">
        <v>0</v>
      </c>
      <c r="E493" s="170">
        <v>0</v>
      </c>
    </row>
    <row r="494" spans="1:5" x14ac:dyDescent="0.25">
      <c r="A494" s="51">
        <v>0</v>
      </c>
      <c r="B494" s="51">
        <v>0</v>
      </c>
      <c r="C494" s="52">
        <v>0</v>
      </c>
      <c r="D494" s="150">
        <v>0</v>
      </c>
      <c r="E494" s="170">
        <v>0</v>
      </c>
    </row>
    <row r="495" spans="1:5" x14ac:dyDescent="0.25">
      <c r="A495" s="51">
        <v>0</v>
      </c>
      <c r="B495" s="51">
        <v>0</v>
      </c>
      <c r="C495" s="52">
        <v>0</v>
      </c>
      <c r="D495" s="150">
        <v>0</v>
      </c>
      <c r="E495" s="170">
        <v>0</v>
      </c>
    </row>
    <row r="496" spans="1:5" x14ac:dyDescent="0.25">
      <c r="A496" s="51">
        <v>0</v>
      </c>
      <c r="B496" s="51">
        <v>0</v>
      </c>
      <c r="C496" s="52">
        <v>0</v>
      </c>
      <c r="D496" s="150">
        <v>0</v>
      </c>
      <c r="E496" s="170">
        <v>0</v>
      </c>
    </row>
    <row r="497" spans="1:5" x14ac:dyDescent="0.25">
      <c r="A497" s="51">
        <v>0</v>
      </c>
      <c r="B497" s="51">
        <v>0</v>
      </c>
      <c r="C497" s="52">
        <v>0</v>
      </c>
      <c r="D497" s="150">
        <v>0</v>
      </c>
      <c r="E497" s="170">
        <v>0</v>
      </c>
    </row>
    <row r="498" spans="1:5" x14ac:dyDescent="0.25">
      <c r="A498" s="51">
        <v>0</v>
      </c>
      <c r="B498" s="51">
        <v>0</v>
      </c>
      <c r="C498" s="52">
        <v>0</v>
      </c>
      <c r="D498" s="150">
        <v>0</v>
      </c>
      <c r="E498" s="170">
        <v>0</v>
      </c>
    </row>
    <row r="499" spans="1:5" x14ac:dyDescent="0.25">
      <c r="A499" s="51">
        <v>0</v>
      </c>
      <c r="B499" s="51">
        <v>0</v>
      </c>
      <c r="C499" s="52">
        <v>0</v>
      </c>
      <c r="D499" s="150">
        <v>0</v>
      </c>
      <c r="E499" s="170">
        <v>0</v>
      </c>
    </row>
    <row r="500" spans="1:5" x14ac:dyDescent="0.25">
      <c r="A500" s="51">
        <v>0</v>
      </c>
      <c r="B500" s="51">
        <v>0</v>
      </c>
      <c r="C500" s="52">
        <v>0</v>
      </c>
      <c r="D500" s="150">
        <v>0</v>
      </c>
      <c r="E500" s="170">
        <v>0</v>
      </c>
    </row>
    <row r="501" spans="1:5" x14ac:dyDescent="0.25">
      <c r="A501" s="51">
        <v>0</v>
      </c>
      <c r="B501" s="51">
        <v>0</v>
      </c>
      <c r="C501" s="52">
        <v>0</v>
      </c>
      <c r="D501" s="150">
        <v>0</v>
      </c>
      <c r="E501" s="170">
        <v>0</v>
      </c>
    </row>
    <row r="502" spans="1:5" x14ac:dyDescent="0.25">
      <c r="A502" s="51">
        <v>0</v>
      </c>
      <c r="B502" s="51">
        <v>0</v>
      </c>
      <c r="C502" s="52">
        <v>0</v>
      </c>
      <c r="D502" s="150">
        <v>0</v>
      </c>
      <c r="E502" s="170">
        <v>0</v>
      </c>
    </row>
    <row r="503" spans="1:5" x14ac:dyDescent="0.25">
      <c r="A503" s="51">
        <v>0</v>
      </c>
      <c r="B503" s="51">
        <v>0</v>
      </c>
      <c r="C503" s="52">
        <v>0</v>
      </c>
      <c r="D503" s="150">
        <v>0</v>
      </c>
      <c r="E503" s="170">
        <v>0</v>
      </c>
    </row>
    <row r="504" spans="1:5" x14ac:dyDescent="0.25">
      <c r="A504" s="51">
        <v>0</v>
      </c>
      <c r="B504" s="51">
        <v>0</v>
      </c>
      <c r="C504" s="52">
        <v>0</v>
      </c>
      <c r="D504" s="150">
        <v>0</v>
      </c>
      <c r="E504" s="170">
        <v>0</v>
      </c>
    </row>
    <row r="505" spans="1:5" x14ac:dyDescent="0.25">
      <c r="A505" s="51">
        <v>0</v>
      </c>
      <c r="B505" s="51">
        <v>0</v>
      </c>
      <c r="C505" s="52">
        <v>0</v>
      </c>
      <c r="D505" s="150">
        <v>0</v>
      </c>
      <c r="E505" s="170">
        <v>0</v>
      </c>
    </row>
    <row r="506" spans="1:5" x14ac:dyDescent="0.25">
      <c r="A506" s="51">
        <v>0</v>
      </c>
      <c r="B506" s="51">
        <v>0</v>
      </c>
      <c r="C506" s="52">
        <v>0</v>
      </c>
      <c r="D506" s="150">
        <v>0</v>
      </c>
      <c r="E506" s="170">
        <v>0</v>
      </c>
    </row>
    <row r="507" spans="1:5" x14ac:dyDescent="0.25">
      <c r="A507" s="51">
        <v>0</v>
      </c>
      <c r="B507" s="51">
        <v>0</v>
      </c>
      <c r="C507" s="52">
        <v>0</v>
      </c>
      <c r="D507" s="150">
        <v>0</v>
      </c>
      <c r="E507" s="170">
        <v>0</v>
      </c>
    </row>
    <row r="508" spans="1:5" x14ac:dyDescent="0.25">
      <c r="A508" s="51">
        <v>0</v>
      </c>
      <c r="B508" s="51">
        <v>0</v>
      </c>
      <c r="C508" s="52">
        <v>0</v>
      </c>
      <c r="D508" s="150">
        <v>0</v>
      </c>
      <c r="E508" s="170">
        <v>0</v>
      </c>
    </row>
    <row r="509" spans="1:5" x14ac:dyDescent="0.25">
      <c r="A509" s="51">
        <v>0</v>
      </c>
      <c r="B509" s="51">
        <v>0</v>
      </c>
      <c r="C509" s="52">
        <v>0</v>
      </c>
      <c r="D509" s="150">
        <v>0</v>
      </c>
      <c r="E509" s="170">
        <v>0</v>
      </c>
    </row>
    <row r="510" spans="1:5" x14ac:dyDescent="0.25">
      <c r="A510" s="51">
        <v>0</v>
      </c>
      <c r="B510" s="51">
        <v>0</v>
      </c>
      <c r="C510" s="52">
        <v>0</v>
      </c>
      <c r="D510" s="150">
        <v>0</v>
      </c>
      <c r="E510" s="170">
        <v>0</v>
      </c>
    </row>
    <row r="511" spans="1:5" x14ac:dyDescent="0.25">
      <c r="A511" s="51">
        <v>0</v>
      </c>
      <c r="B511" s="51">
        <v>0</v>
      </c>
      <c r="C511" s="52">
        <v>0</v>
      </c>
      <c r="D511" s="150">
        <v>0</v>
      </c>
      <c r="E511" s="170">
        <v>0</v>
      </c>
    </row>
    <row r="512" spans="1:5" x14ac:dyDescent="0.25">
      <c r="A512" s="51">
        <v>0</v>
      </c>
      <c r="B512" s="51">
        <v>0</v>
      </c>
      <c r="C512" s="52">
        <v>0</v>
      </c>
      <c r="D512" s="150">
        <v>0</v>
      </c>
      <c r="E512" s="170">
        <v>0</v>
      </c>
    </row>
    <row r="513" spans="1:5" x14ac:dyDescent="0.25">
      <c r="A513" s="51">
        <v>0</v>
      </c>
      <c r="B513" s="51">
        <v>0</v>
      </c>
      <c r="C513" s="52">
        <v>0</v>
      </c>
      <c r="D513" s="150">
        <v>0</v>
      </c>
      <c r="E513" s="170">
        <v>0</v>
      </c>
    </row>
    <row r="514" spans="1:5" x14ac:dyDescent="0.25">
      <c r="A514" s="51">
        <v>0</v>
      </c>
      <c r="B514" s="51">
        <v>0</v>
      </c>
      <c r="C514" s="52">
        <v>0</v>
      </c>
      <c r="D514" s="150">
        <v>0</v>
      </c>
      <c r="E514" s="170">
        <v>0</v>
      </c>
    </row>
    <row r="515" spans="1:5" x14ac:dyDescent="0.25">
      <c r="A515" s="51">
        <v>0</v>
      </c>
      <c r="B515" s="51">
        <v>0</v>
      </c>
      <c r="C515" s="52">
        <v>0</v>
      </c>
      <c r="D515" s="150">
        <v>0</v>
      </c>
      <c r="E515" s="170">
        <v>0</v>
      </c>
    </row>
    <row r="516" spans="1:5" x14ac:dyDescent="0.25">
      <c r="A516" s="51">
        <v>0</v>
      </c>
      <c r="B516" s="51">
        <v>0</v>
      </c>
      <c r="C516" s="52">
        <v>0</v>
      </c>
      <c r="D516" s="150">
        <v>0</v>
      </c>
      <c r="E516" s="170">
        <v>0</v>
      </c>
    </row>
    <row r="517" spans="1:5" x14ac:dyDescent="0.25">
      <c r="A517" s="51">
        <v>0</v>
      </c>
      <c r="B517" s="51">
        <v>0</v>
      </c>
      <c r="C517" s="52">
        <v>0</v>
      </c>
      <c r="D517" s="150">
        <v>0</v>
      </c>
      <c r="E517" s="170">
        <v>0</v>
      </c>
    </row>
    <row r="518" spans="1:5" x14ac:dyDescent="0.25">
      <c r="A518" s="51">
        <v>0</v>
      </c>
      <c r="B518" s="51">
        <v>0</v>
      </c>
      <c r="C518" s="52">
        <v>0</v>
      </c>
      <c r="D518" s="150">
        <v>0</v>
      </c>
      <c r="E518" s="170">
        <v>0</v>
      </c>
    </row>
    <row r="519" spans="1:5" x14ac:dyDescent="0.25">
      <c r="A519" s="51">
        <v>0</v>
      </c>
      <c r="B519" s="51">
        <v>0</v>
      </c>
      <c r="C519" s="52">
        <v>0</v>
      </c>
      <c r="D519" s="150">
        <v>0</v>
      </c>
      <c r="E519" s="170">
        <v>0</v>
      </c>
    </row>
    <row r="520" spans="1:5" x14ac:dyDescent="0.25">
      <c r="A520" s="51">
        <v>0</v>
      </c>
      <c r="B520" s="51">
        <v>0</v>
      </c>
      <c r="C520" s="52">
        <v>0</v>
      </c>
      <c r="D520" s="52">
        <v>0</v>
      </c>
      <c r="E520" s="170">
        <v>0</v>
      </c>
    </row>
    <row r="521" spans="1:5" x14ac:dyDescent="0.25">
      <c r="A521" s="51">
        <v>0</v>
      </c>
      <c r="B521" s="51">
        <v>0</v>
      </c>
      <c r="C521" s="52">
        <v>0</v>
      </c>
      <c r="D521" s="52">
        <v>0</v>
      </c>
      <c r="E521" s="170">
        <v>0</v>
      </c>
    </row>
    <row r="522" spans="1:5" x14ac:dyDescent="0.25">
      <c r="A522" s="51">
        <v>0</v>
      </c>
      <c r="B522" s="51">
        <v>0</v>
      </c>
      <c r="C522" s="52">
        <v>0</v>
      </c>
      <c r="D522" s="52">
        <v>0</v>
      </c>
      <c r="E522" s="170">
        <v>0</v>
      </c>
    </row>
    <row r="523" spans="1:5" x14ac:dyDescent="0.25">
      <c r="A523" s="51">
        <v>0</v>
      </c>
      <c r="B523" s="51">
        <v>0</v>
      </c>
      <c r="C523" s="52">
        <v>0</v>
      </c>
      <c r="D523" s="52">
        <v>0</v>
      </c>
      <c r="E523" s="170">
        <v>0</v>
      </c>
    </row>
  </sheetData>
  <autoFilter ref="A10:E523" xr:uid="{9381A79F-38F0-49CB-8BFF-454F3552950D}"/>
  <pageMargins left="0.70866141732283472" right="0.70866141732283472" top="0.74803149606299213" bottom="0.74803149606299213" header="0.31496062992125984" footer="0.31496062992125984"/>
  <pageSetup paperSize="9" scale="74" fitToHeight="1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d28635-6fe1-41a8-9018-8a69770433d5">
      <Terms xmlns="http://schemas.microsoft.com/office/infopath/2007/PartnerControls"/>
    </lcf76f155ced4ddcb4097134ff3c332f>
    <TaxCatchAll xmlns="717a3f5c-3592-4282-857c-bdb61d40de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AADBF70F34D147B26047F0FE02C7EC" ma:contentTypeVersion="16" ma:contentTypeDescription="Opprett et nytt dokument." ma:contentTypeScope="" ma:versionID="5e7d27e9c4183202f73178d755f6ec6a">
  <xsd:schema xmlns:xsd="http://www.w3.org/2001/XMLSchema" xmlns:xs="http://www.w3.org/2001/XMLSchema" xmlns:p="http://schemas.microsoft.com/office/2006/metadata/properties" xmlns:ns2="aad28635-6fe1-41a8-9018-8a69770433d5" xmlns:ns3="717a3f5c-3592-4282-857c-bdb61d40dea9" targetNamespace="http://schemas.microsoft.com/office/2006/metadata/properties" ma:root="true" ma:fieldsID="ae2327ae9779c4771d127cfdfe49cff6" ns2:_="" ns3:_="">
    <xsd:import namespace="aad28635-6fe1-41a8-9018-8a69770433d5"/>
    <xsd:import namespace="717a3f5c-3592-4282-857c-bdb61d40d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28635-6fe1-41a8-9018-8a6977043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6626100e-c3b5-4be1-95bc-40f9c77534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a3f5c-3592-4282-857c-bdb61d40dea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2b2b04a-ec53-4d59-9fff-0c6c2a917de6}" ma:internalName="TaxCatchAll" ma:showField="CatchAllData" ma:web="717a3f5c-3592-4282-857c-bdb61d40d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189F37A-852B-4AA1-AF06-8B1F10CAC75B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101bf83d-fcf4-46d7-a2f2-8d396f77cbc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68F8646-258C-4DBE-9188-B27CCD959E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AAF5B-7283-4100-8B46-F7CA6B43E0E1}"/>
</file>

<file path=customXml/itemProps4.xml><?xml version="1.0" encoding="utf-8"?>
<ds:datastoreItem xmlns:ds="http://schemas.openxmlformats.org/officeDocument/2006/customXml" ds:itemID="{EAFE2733-385D-4BB4-B8BB-7A0ACA352D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TOTAL ORDER</vt:lpstr>
      <vt:lpstr>FRUKT OG GRØNT</vt:lpstr>
      <vt:lpstr>MEIERI</vt:lpstr>
      <vt:lpstr>FERSKVARER</vt:lpstr>
      <vt:lpstr>FRYSEVARER</vt:lpstr>
      <vt:lpstr>TØRRVARER</vt:lpstr>
      <vt:lpstr>DRIKKE</vt:lpstr>
      <vt:lpstr>ALKOHOL</vt:lpstr>
      <vt:lpstr>ORDER OPPSUMMERT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Hansen, Erik Bratli</dc:creator>
  <cp:keywords/>
  <dc:description/>
  <cp:lastModifiedBy>Salomaki, Marika</cp:lastModifiedBy>
  <cp:revision/>
  <cp:lastPrinted>2023-04-27T13:20:44Z</cp:lastPrinted>
  <dcterms:created xsi:type="dcterms:W3CDTF">2022-10-03T08:37:30Z</dcterms:created>
  <dcterms:modified xsi:type="dcterms:W3CDTF">2023-04-27T13:24:31Z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5e7ebc-7083-4ef0-929e-21cd5eff7fc4_Enabled">
    <vt:lpwstr>true</vt:lpwstr>
  </property>
  <property fmtid="{D5CDD505-2E9C-101B-9397-08002B2CF9AE}" pid="3" name="MSIP_Label_095e7ebc-7083-4ef0-929e-21cd5eff7fc4_SetDate">
    <vt:lpwstr>2022-10-21T07:53:57Z</vt:lpwstr>
  </property>
  <property fmtid="{D5CDD505-2E9C-101B-9397-08002B2CF9AE}" pid="4" name="MSIP_Label_095e7ebc-7083-4ef0-929e-21cd5eff7fc4_Method">
    <vt:lpwstr>Standard</vt:lpwstr>
  </property>
  <property fmtid="{D5CDD505-2E9C-101B-9397-08002B2CF9AE}" pid="5" name="MSIP_Label_095e7ebc-7083-4ef0-929e-21cd5eff7fc4_Name">
    <vt:lpwstr>095e7ebc-7083-4ef0-929e-21cd5eff7fc4</vt:lpwstr>
  </property>
  <property fmtid="{D5CDD505-2E9C-101B-9397-08002B2CF9AE}" pid="6" name="MSIP_Label_095e7ebc-7083-4ef0-929e-21cd5eff7fc4_SiteId">
    <vt:lpwstr>ad12c024-e320-4b19-aa0b-b0c36c136e70</vt:lpwstr>
  </property>
  <property fmtid="{D5CDD505-2E9C-101B-9397-08002B2CF9AE}" pid="7" name="MSIP_Label_095e7ebc-7083-4ef0-929e-21cd5eff7fc4_ActionId">
    <vt:lpwstr>192416fc-7d90-49eb-b7fd-7b76cd028c69</vt:lpwstr>
  </property>
  <property fmtid="{D5CDD505-2E9C-101B-9397-08002B2CF9AE}" pid="8" name="MSIP_Label_095e7ebc-7083-4ef0-929e-21cd5eff7fc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0x01010052BB090929B06C41A363DEFDD522208C</vt:lpwstr>
  </property>
</Properties>
</file>